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8135" windowHeight="10485"/>
  </bookViews>
  <sheets>
    <sheet name="Отчет" sheetId="1" r:id="rId1"/>
  </sheets>
  <calcPr calcId="145621"/>
</workbook>
</file>

<file path=xl/calcChain.xml><?xml version="1.0" encoding="utf-8"?>
<calcChain xmlns="http://schemas.openxmlformats.org/spreadsheetml/2006/main">
  <c r="N244" i="1" l="1"/>
  <c r="L244" i="1"/>
  <c r="F244" i="1"/>
  <c r="C244" i="1"/>
  <c r="B244" i="1"/>
  <c r="N243" i="1"/>
  <c r="L243" i="1"/>
  <c r="F243" i="1"/>
  <c r="C243" i="1"/>
  <c r="B243" i="1"/>
  <c r="N242" i="1"/>
  <c r="L242" i="1"/>
  <c r="F242" i="1"/>
  <c r="C242" i="1"/>
  <c r="B242" i="1"/>
  <c r="N241" i="1"/>
  <c r="L241" i="1"/>
  <c r="F241" i="1"/>
  <c r="C241" i="1"/>
  <c r="B241" i="1"/>
  <c r="N240" i="1"/>
  <c r="L240" i="1"/>
  <c r="F240" i="1"/>
  <c r="C240" i="1"/>
  <c r="B240" i="1"/>
  <c r="N239" i="1"/>
  <c r="L239" i="1"/>
  <c r="F239" i="1"/>
  <c r="C239" i="1"/>
  <c r="B239" i="1"/>
  <c r="N238" i="1"/>
  <c r="L238" i="1"/>
  <c r="F238" i="1"/>
  <c r="C238" i="1"/>
  <c r="B238" i="1"/>
  <c r="N237" i="1"/>
  <c r="L237" i="1"/>
  <c r="F237" i="1"/>
  <c r="C237" i="1"/>
  <c r="B237" i="1"/>
  <c r="N236" i="1"/>
  <c r="L236" i="1"/>
  <c r="F236" i="1"/>
  <c r="C236" i="1"/>
  <c r="B236" i="1"/>
  <c r="N235" i="1"/>
  <c r="L235" i="1"/>
  <c r="F235" i="1"/>
  <c r="C235" i="1"/>
  <c r="B235" i="1"/>
  <c r="N234" i="1"/>
  <c r="L234" i="1"/>
  <c r="F234" i="1"/>
  <c r="C234" i="1"/>
  <c r="B234" i="1"/>
  <c r="N233" i="1"/>
  <c r="L233" i="1"/>
  <c r="F233" i="1"/>
  <c r="C233" i="1"/>
  <c r="B233" i="1"/>
  <c r="N232" i="1"/>
  <c r="L232" i="1"/>
  <c r="F232" i="1"/>
  <c r="C232" i="1"/>
  <c r="B232" i="1"/>
  <c r="N231" i="1"/>
  <c r="L231" i="1"/>
  <c r="F231" i="1"/>
  <c r="C231" i="1"/>
  <c r="B231" i="1"/>
  <c r="N230" i="1"/>
  <c r="L230" i="1"/>
  <c r="F230" i="1"/>
  <c r="C230" i="1"/>
  <c r="B230" i="1"/>
  <c r="N229" i="1"/>
  <c r="L229" i="1"/>
  <c r="F229" i="1"/>
  <c r="C229" i="1"/>
  <c r="B229" i="1"/>
  <c r="N228" i="1"/>
  <c r="L228" i="1"/>
  <c r="F228" i="1"/>
  <c r="C228" i="1"/>
  <c r="B228" i="1"/>
  <c r="N227" i="1"/>
  <c r="L227" i="1"/>
  <c r="F227" i="1"/>
  <c r="C227" i="1"/>
  <c r="B227" i="1"/>
  <c r="N226" i="1"/>
  <c r="L226" i="1"/>
  <c r="F226" i="1"/>
  <c r="C226" i="1"/>
  <c r="B226" i="1"/>
  <c r="N225" i="1"/>
  <c r="L225" i="1"/>
  <c r="F225" i="1"/>
  <c r="C225" i="1"/>
  <c r="B225" i="1"/>
  <c r="N224" i="1"/>
  <c r="L224" i="1"/>
  <c r="F224" i="1"/>
  <c r="C224" i="1"/>
  <c r="B224" i="1"/>
  <c r="N223" i="1"/>
  <c r="L223" i="1"/>
  <c r="F223" i="1"/>
  <c r="C223" i="1"/>
  <c r="B223" i="1"/>
  <c r="N222" i="1"/>
  <c r="L222" i="1"/>
  <c r="F222" i="1"/>
  <c r="C222" i="1"/>
  <c r="B222" i="1"/>
  <c r="N221" i="1"/>
  <c r="L221" i="1"/>
  <c r="F221" i="1"/>
  <c r="C221" i="1"/>
  <c r="B221" i="1"/>
  <c r="N220" i="1"/>
  <c r="L220" i="1"/>
  <c r="F220" i="1"/>
  <c r="C220" i="1"/>
  <c r="B220" i="1"/>
  <c r="N219" i="1"/>
  <c r="L219" i="1"/>
  <c r="F219" i="1"/>
  <c r="C219" i="1"/>
  <c r="B219" i="1"/>
  <c r="N218" i="1"/>
  <c r="L218" i="1"/>
  <c r="F218" i="1"/>
  <c r="C218" i="1"/>
  <c r="B218" i="1"/>
  <c r="N217" i="1"/>
  <c r="L217" i="1"/>
  <c r="F217" i="1"/>
  <c r="C217" i="1"/>
  <c r="B217" i="1"/>
  <c r="N216" i="1"/>
  <c r="L216" i="1"/>
  <c r="F216" i="1"/>
  <c r="C216" i="1"/>
  <c r="B216" i="1"/>
  <c r="N215" i="1"/>
  <c r="L215" i="1"/>
  <c r="F215" i="1"/>
  <c r="C215" i="1"/>
  <c r="B215" i="1"/>
  <c r="N214" i="1"/>
  <c r="L214" i="1"/>
  <c r="F214" i="1"/>
  <c r="C214" i="1"/>
  <c r="B214" i="1"/>
  <c r="N213" i="1"/>
  <c r="L213" i="1"/>
  <c r="F213" i="1"/>
  <c r="C213" i="1"/>
  <c r="B213" i="1"/>
  <c r="N212" i="1"/>
  <c r="L212" i="1"/>
  <c r="F212" i="1"/>
  <c r="C212" i="1"/>
  <c r="B212" i="1"/>
  <c r="N211" i="1"/>
  <c r="L211" i="1"/>
  <c r="F211" i="1"/>
  <c r="C211" i="1"/>
  <c r="B211" i="1"/>
  <c r="N210" i="1"/>
  <c r="L210" i="1"/>
  <c r="F210" i="1"/>
  <c r="C210" i="1"/>
  <c r="B210" i="1"/>
  <c r="N209" i="1"/>
  <c r="L209" i="1"/>
  <c r="F209" i="1"/>
  <c r="C209" i="1"/>
  <c r="B209" i="1"/>
  <c r="N208" i="1"/>
  <c r="L208" i="1"/>
  <c r="F208" i="1"/>
  <c r="C208" i="1"/>
  <c r="B208" i="1"/>
  <c r="N207" i="1"/>
  <c r="L207" i="1"/>
  <c r="F207" i="1"/>
  <c r="C207" i="1"/>
  <c r="B207" i="1"/>
  <c r="N206" i="1"/>
  <c r="L206" i="1"/>
  <c r="F206" i="1"/>
  <c r="C206" i="1"/>
  <c r="B206" i="1"/>
  <c r="N205" i="1"/>
  <c r="L205" i="1"/>
  <c r="F205" i="1"/>
  <c r="C205" i="1"/>
  <c r="B205" i="1"/>
  <c r="N204" i="1"/>
  <c r="L204" i="1"/>
  <c r="F204" i="1"/>
  <c r="C204" i="1"/>
  <c r="B204" i="1"/>
  <c r="N203" i="1"/>
  <c r="L203" i="1"/>
  <c r="F203" i="1"/>
  <c r="C203" i="1"/>
  <c r="B203" i="1"/>
  <c r="N202" i="1"/>
  <c r="L202" i="1"/>
  <c r="F202" i="1"/>
  <c r="C202" i="1"/>
  <c r="B202" i="1"/>
  <c r="N201" i="1"/>
  <c r="L201" i="1"/>
  <c r="F201" i="1"/>
  <c r="C201" i="1"/>
  <c r="B201" i="1"/>
  <c r="N200" i="1"/>
  <c r="L200" i="1"/>
  <c r="F200" i="1"/>
  <c r="C200" i="1"/>
  <c r="B200" i="1"/>
  <c r="N199" i="1"/>
  <c r="L199" i="1"/>
  <c r="F199" i="1"/>
  <c r="C199" i="1"/>
  <c r="B199" i="1"/>
  <c r="N198" i="1"/>
  <c r="L198" i="1"/>
  <c r="F198" i="1"/>
  <c r="C198" i="1"/>
  <c r="B198" i="1"/>
  <c r="N197" i="1"/>
  <c r="L197" i="1"/>
  <c r="F197" i="1"/>
  <c r="C197" i="1"/>
  <c r="B197" i="1"/>
  <c r="N196" i="1"/>
  <c r="L196" i="1"/>
  <c r="F196" i="1"/>
  <c r="C196" i="1"/>
  <c r="B196" i="1"/>
  <c r="N195" i="1"/>
  <c r="L195" i="1"/>
  <c r="F195" i="1"/>
  <c r="C195" i="1"/>
  <c r="B195" i="1"/>
  <c r="N194" i="1"/>
  <c r="L194" i="1"/>
  <c r="F194" i="1"/>
  <c r="C194" i="1"/>
  <c r="B194" i="1"/>
  <c r="N193" i="1"/>
  <c r="L193" i="1"/>
  <c r="F193" i="1"/>
  <c r="C193" i="1"/>
  <c r="B193" i="1"/>
  <c r="N192" i="1"/>
  <c r="L192" i="1"/>
  <c r="F192" i="1"/>
  <c r="C192" i="1"/>
  <c r="B192" i="1"/>
  <c r="N191" i="1"/>
  <c r="L191" i="1"/>
  <c r="F191" i="1"/>
  <c r="C191" i="1"/>
  <c r="B191" i="1"/>
  <c r="N190" i="1"/>
  <c r="L190" i="1"/>
  <c r="F190" i="1"/>
  <c r="C190" i="1"/>
  <c r="B190" i="1"/>
  <c r="N189" i="1"/>
  <c r="L189" i="1"/>
  <c r="F189" i="1"/>
  <c r="C189" i="1"/>
  <c r="B189" i="1"/>
  <c r="N188" i="1"/>
  <c r="L188" i="1"/>
  <c r="F188" i="1"/>
  <c r="C188" i="1"/>
  <c r="B188" i="1"/>
  <c r="N187" i="1"/>
  <c r="L187" i="1"/>
  <c r="F187" i="1"/>
  <c r="C187" i="1"/>
  <c r="B187" i="1"/>
  <c r="N186" i="1"/>
  <c r="L186" i="1"/>
  <c r="F186" i="1"/>
  <c r="C186" i="1"/>
  <c r="B186" i="1"/>
  <c r="N185" i="1"/>
  <c r="L185" i="1"/>
  <c r="F185" i="1"/>
  <c r="C185" i="1"/>
  <c r="B185" i="1"/>
  <c r="N184" i="1"/>
  <c r="L184" i="1"/>
  <c r="F184" i="1"/>
  <c r="C184" i="1"/>
  <c r="B184" i="1"/>
  <c r="N183" i="1"/>
  <c r="L183" i="1"/>
  <c r="F183" i="1"/>
  <c r="C183" i="1"/>
  <c r="B183" i="1"/>
  <c r="N182" i="1"/>
  <c r="L182" i="1"/>
  <c r="F182" i="1"/>
  <c r="C182" i="1"/>
  <c r="B182" i="1"/>
  <c r="N181" i="1"/>
  <c r="L181" i="1"/>
  <c r="F181" i="1"/>
  <c r="C181" i="1"/>
  <c r="B181" i="1"/>
  <c r="N180" i="1"/>
  <c r="L180" i="1"/>
  <c r="F180" i="1"/>
  <c r="C180" i="1"/>
  <c r="B180" i="1"/>
  <c r="N179" i="1"/>
  <c r="L179" i="1"/>
  <c r="F179" i="1"/>
  <c r="C179" i="1"/>
  <c r="B179" i="1"/>
  <c r="N178" i="1"/>
  <c r="L178" i="1"/>
  <c r="F178" i="1"/>
  <c r="C178" i="1"/>
  <c r="B178" i="1"/>
  <c r="N177" i="1"/>
  <c r="L177" i="1"/>
  <c r="F177" i="1"/>
  <c r="C177" i="1"/>
  <c r="B177" i="1"/>
  <c r="N176" i="1"/>
  <c r="L176" i="1"/>
  <c r="F176" i="1"/>
  <c r="C176" i="1"/>
  <c r="B176" i="1"/>
  <c r="N175" i="1"/>
  <c r="L175" i="1"/>
  <c r="F175" i="1"/>
  <c r="C175" i="1"/>
  <c r="B175" i="1"/>
  <c r="N174" i="1"/>
  <c r="L174" i="1"/>
  <c r="F174" i="1"/>
  <c r="C174" i="1"/>
  <c r="B174" i="1"/>
  <c r="N173" i="1"/>
  <c r="L173" i="1"/>
  <c r="F173" i="1"/>
  <c r="C173" i="1"/>
  <c r="B173" i="1"/>
  <c r="N172" i="1"/>
  <c r="L172" i="1"/>
  <c r="F172" i="1"/>
  <c r="C172" i="1"/>
  <c r="B172" i="1"/>
  <c r="N171" i="1"/>
  <c r="L171" i="1"/>
  <c r="F171" i="1"/>
  <c r="C171" i="1"/>
  <c r="B171" i="1"/>
  <c r="N170" i="1"/>
  <c r="L170" i="1"/>
  <c r="F170" i="1"/>
  <c r="C170" i="1"/>
  <c r="B170" i="1"/>
  <c r="N169" i="1"/>
  <c r="L169" i="1"/>
  <c r="F169" i="1"/>
  <c r="C169" i="1"/>
  <c r="B169" i="1"/>
  <c r="N168" i="1"/>
  <c r="L168" i="1"/>
  <c r="F168" i="1"/>
  <c r="C168" i="1"/>
  <c r="B168" i="1"/>
  <c r="N167" i="1"/>
  <c r="L167" i="1"/>
  <c r="F167" i="1"/>
  <c r="C167" i="1"/>
  <c r="B167" i="1"/>
  <c r="N166" i="1"/>
  <c r="L166" i="1"/>
  <c r="F166" i="1"/>
  <c r="C166" i="1"/>
  <c r="B166" i="1"/>
  <c r="N165" i="1"/>
  <c r="L165" i="1"/>
  <c r="F165" i="1"/>
  <c r="C165" i="1"/>
  <c r="B165" i="1"/>
  <c r="N164" i="1"/>
  <c r="L164" i="1"/>
  <c r="F164" i="1"/>
  <c r="C164" i="1"/>
  <c r="B164" i="1"/>
  <c r="N163" i="1"/>
  <c r="L163" i="1"/>
  <c r="F163" i="1"/>
  <c r="C163" i="1"/>
  <c r="B163" i="1"/>
  <c r="N162" i="1"/>
  <c r="L162" i="1"/>
  <c r="F162" i="1"/>
  <c r="C162" i="1"/>
  <c r="B162" i="1"/>
  <c r="N161" i="1"/>
  <c r="L161" i="1"/>
  <c r="F161" i="1"/>
  <c r="C161" i="1"/>
  <c r="B161" i="1"/>
  <c r="N160" i="1"/>
  <c r="L160" i="1"/>
  <c r="F160" i="1"/>
  <c r="C160" i="1"/>
  <c r="B160" i="1"/>
  <c r="N159" i="1"/>
  <c r="L159" i="1"/>
  <c r="F159" i="1"/>
  <c r="C159" i="1"/>
  <c r="B159" i="1"/>
  <c r="N158" i="1"/>
  <c r="L158" i="1"/>
  <c r="F158" i="1"/>
  <c r="C158" i="1"/>
  <c r="B158" i="1"/>
  <c r="N157" i="1"/>
  <c r="L157" i="1"/>
  <c r="F157" i="1"/>
  <c r="C157" i="1"/>
  <c r="B157" i="1"/>
  <c r="N156" i="1"/>
  <c r="L156" i="1"/>
  <c r="F156" i="1"/>
  <c r="C156" i="1"/>
  <c r="B156" i="1"/>
  <c r="N155" i="1"/>
  <c r="L155" i="1"/>
  <c r="F155" i="1"/>
  <c r="C155" i="1"/>
  <c r="B155" i="1"/>
  <c r="N154" i="1"/>
  <c r="L154" i="1"/>
  <c r="F154" i="1"/>
  <c r="C154" i="1"/>
  <c r="B154" i="1"/>
  <c r="N153" i="1"/>
  <c r="L153" i="1"/>
  <c r="F153" i="1"/>
  <c r="C153" i="1"/>
  <c r="B153" i="1"/>
  <c r="N152" i="1"/>
  <c r="L152" i="1"/>
  <c r="F152" i="1"/>
  <c r="C152" i="1"/>
  <c r="B152" i="1"/>
  <c r="N151" i="1"/>
  <c r="L151" i="1"/>
  <c r="F151" i="1"/>
  <c r="C151" i="1"/>
  <c r="B151" i="1"/>
  <c r="N150" i="1"/>
  <c r="L150" i="1"/>
  <c r="F150" i="1"/>
  <c r="C150" i="1"/>
  <c r="B150" i="1"/>
  <c r="N149" i="1"/>
  <c r="L149" i="1"/>
  <c r="F149" i="1"/>
  <c r="C149" i="1"/>
  <c r="B149" i="1"/>
  <c r="N148" i="1"/>
  <c r="L148" i="1"/>
  <c r="F148" i="1"/>
  <c r="C148" i="1"/>
  <c r="B148" i="1"/>
  <c r="N147" i="1"/>
  <c r="L147" i="1"/>
  <c r="F147" i="1"/>
  <c r="C147" i="1"/>
  <c r="B147" i="1"/>
  <c r="N146" i="1"/>
  <c r="L146" i="1"/>
  <c r="F146" i="1"/>
  <c r="C146" i="1"/>
  <c r="B146" i="1"/>
  <c r="N145" i="1"/>
  <c r="L145" i="1"/>
  <c r="F145" i="1"/>
  <c r="C145" i="1"/>
  <c r="B145" i="1"/>
  <c r="N144" i="1"/>
  <c r="L144" i="1"/>
  <c r="F144" i="1"/>
  <c r="C144" i="1"/>
  <c r="B144" i="1"/>
  <c r="N143" i="1"/>
  <c r="L143" i="1"/>
  <c r="F143" i="1"/>
  <c r="C143" i="1"/>
  <c r="B143" i="1"/>
  <c r="N142" i="1"/>
  <c r="L142" i="1"/>
  <c r="F142" i="1"/>
  <c r="C142" i="1"/>
  <c r="B142" i="1"/>
  <c r="N141" i="1"/>
  <c r="L141" i="1"/>
  <c r="F141" i="1"/>
  <c r="C141" i="1"/>
  <c r="B141" i="1"/>
  <c r="N140" i="1"/>
  <c r="L140" i="1"/>
  <c r="F140" i="1"/>
  <c r="C140" i="1"/>
  <c r="B140" i="1"/>
  <c r="N139" i="1"/>
  <c r="L139" i="1"/>
  <c r="F139" i="1"/>
  <c r="C139" i="1"/>
  <c r="B139" i="1"/>
  <c r="N138" i="1"/>
  <c r="L138" i="1"/>
  <c r="F138" i="1"/>
  <c r="C138" i="1"/>
  <c r="B138" i="1"/>
  <c r="N137" i="1"/>
  <c r="L137" i="1"/>
  <c r="F137" i="1"/>
  <c r="C137" i="1"/>
  <c r="B137" i="1"/>
  <c r="N136" i="1"/>
  <c r="L136" i="1"/>
  <c r="F136" i="1"/>
  <c r="C136" i="1"/>
  <c r="B136" i="1"/>
  <c r="N135" i="1"/>
  <c r="L135" i="1"/>
  <c r="F135" i="1"/>
  <c r="C135" i="1"/>
  <c r="B135" i="1"/>
  <c r="N134" i="1"/>
  <c r="L134" i="1"/>
  <c r="F134" i="1"/>
  <c r="C134" i="1"/>
  <c r="B134" i="1"/>
  <c r="N133" i="1"/>
  <c r="L133" i="1"/>
  <c r="F133" i="1"/>
  <c r="C133" i="1"/>
  <c r="B133" i="1"/>
  <c r="N132" i="1"/>
  <c r="L132" i="1"/>
  <c r="F132" i="1"/>
  <c r="C132" i="1"/>
  <c r="B132" i="1"/>
  <c r="N131" i="1"/>
  <c r="L131" i="1"/>
  <c r="F131" i="1"/>
  <c r="C131" i="1"/>
  <c r="B131" i="1"/>
  <c r="N130" i="1"/>
  <c r="L130" i="1"/>
  <c r="F130" i="1"/>
  <c r="C130" i="1"/>
  <c r="B130" i="1"/>
  <c r="N129" i="1"/>
  <c r="L129" i="1"/>
  <c r="F129" i="1"/>
  <c r="C129" i="1"/>
  <c r="B129" i="1"/>
  <c r="N128" i="1"/>
  <c r="L128" i="1"/>
  <c r="F128" i="1"/>
  <c r="C128" i="1"/>
  <c r="B128" i="1"/>
  <c r="N127" i="1"/>
  <c r="L127" i="1"/>
  <c r="F127" i="1"/>
  <c r="C127" i="1"/>
  <c r="B127" i="1"/>
  <c r="N126" i="1"/>
  <c r="L126" i="1"/>
  <c r="F126" i="1"/>
  <c r="C126" i="1"/>
  <c r="B126" i="1"/>
  <c r="N125" i="1"/>
  <c r="L125" i="1"/>
  <c r="F125" i="1"/>
  <c r="C125" i="1"/>
  <c r="B125" i="1"/>
  <c r="N124" i="1"/>
  <c r="L124" i="1"/>
  <c r="F124" i="1"/>
  <c r="C124" i="1"/>
  <c r="B124" i="1"/>
  <c r="N123" i="1"/>
  <c r="L123" i="1"/>
  <c r="F123" i="1"/>
  <c r="C123" i="1"/>
  <c r="B123" i="1"/>
  <c r="N122" i="1"/>
  <c r="L122" i="1"/>
  <c r="F122" i="1"/>
  <c r="C122" i="1"/>
  <c r="B122" i="1"/>
  <c r="N121" i="1"/>
  <c r="L121" i="1"/>
  <c r="F121" i="1"/>
  <c r="C121" i="1"/>
  <c r="B121" i="1"/>
  <c r="N120" i="1"/>
  <c r="L120" i="1"/>
  <c r="F120" i="1"/>
  <c r="C120" i="1"/>
  <c r="B120" i="1"/>
  <c r="N119" i="1"/>
  <c r="L119" i="1"/>
  <c r="F119" i="1"/>
  <c r="C119" i="1"/>
  <c r="B119" i="1"/>
  <c r="N118" i="1"/>
  <c r="L118" i="1"/>
  <c r="F118" i="1"/>
  <c r="C118" i="1"/>
  <c r="B118" i="1"/>
  <c r="N117" i="1"/>
  <c r="L117" i="1"/>
  <c r="F117" i="1"/>
  <c r="C117" i="1"/>
  <c r="B117" i="1"/>
  <c r="N116" i="1"/>
  <c r="L116" i="1"/>
  <c r="F116" i="1"/>
  <c r="C116" i="1"/>
  <c r="B116" i="1"/>
  <c r="N115" i="1"/>
  <c r="L115" i="1"/>
  <c r="F115" i="1"/>
  <c r="C115" i="1"/>
  <c r="B115" i="1"/>
  <c r="N114" i="1"/>
  <c r="L114" i="1"/>
  <c r="F114" i="1"/>
  <c r="C114" i="1"/>
  <c r="B114" i="1"/>
  <c r="N113" i="1"/>
  <c r="L113" i="1"/>
  <c r="F113" i="1"/>
  <c r="C113" i="1"/>
  <c r="B113" i="1"/>
  <c r="N112" i="1"/>
  <c r="L112" i="1"/>
  <c r="F112" i="1"/>
  <c r="C112" i="1"/>
  <c r="B112" i="1"/>
  <c r="N111" i="1"/>
  <c r="L111" i="1"/>
  <c r="F111" i="1"/>
  <c r="C111" i="1"/>
  <c r="B111" i="1"/>
  <c r="N110" i="1"/>
  <c r="L110" i="1"/>
  <c r="F110" i="1"/>
  <c r="C110" i="1"/>
  <c r="B110" i="1"/>
  <c r="N109" i="1"/>
  <c r="L109" i="1"/>
  <c r="F109" i="1"/>
  <c r="C109" i="1"/>
  <c r="B109" i="1"/>
  <c r="N108" i="1"/>
  <c r="L108" i="1"/>
  <c r="F108" i="1"/>
  <c r="C108" i="1"/>
  <c r="B108" i="1"/>
  <c r="N107" i="1"/>
  <c r="L107" i="1"/>
  <c r="F107" i="1"/>
  <c r="C107" i="1"/>
  <c r="B107" i="1"/>
  <c r="N106" i="1"/>
  <c r="L106" i="1"/>
  <c r="F106" i="1"/>
  <c r="C106" i="1"/>
  <c r="B106" i="1"/>
  <c r="N105" i="1"/>
  <c r="L105" i="1"/>
  <c r="F105" i="1"/>
  <c r="C105" i="1"/>
  <c r="B105" i="1"/>
  <c r="N104" i="1"/>
  <c r="L104" i="1"/>
  <c r="F104" i="1"/>
  <c r="C104" i="1"/>
  <c r="B104" i="1"/>
  <c r="N103" i="1"/>
  <c r="L103" i="1"/>
  <c r="F103" i="1"/>
  <c r="C103" i="1"/>
  <c r="B103" i="1"/>
  <c r="N102" i="1"/>
  <c r="L102" i="1"/>
  <c r="F102" i="1"/>
  <c r="C102" i="1"/>
  <c r="B102" i="1"/>
  <c r="N101" i="1"/>
  <c r="L101" i="1"/>
  <c r="F101" i="1"/>
  <c r="C101" i="1"/>
  <c r="B101" i="1"/>
  <c r="N100" i="1"/>
  <c r="L100" i="1"/>
  <c r="F100" i="1"/>
  <c r="C100" i="1"/>
  <c r="B100" i="1"/>
  <c r="N99" i="1"/>
  <c r="L99" i="1"/>
  <c r="F99" i="1"/>
  <c r="C99" i="1"/>
  <c r="B99" i="1"/>
  <c r="N98" i="1"/>
  <c r="L98" i="1"/>
  <c r="F98" i="1"/>
  <c r="C98" i="1"/>
  <c r="B98" i="1"/>
  <c r="N97" i="1"/>
  <c r="L97" i="1"/>
  <c r="F97" i="1"/>
  <c r="C97" i="1"/>
  <c r="B97" i="1"/>
  <c r="N96" i="1"/>
  <c r="L96" i="1"/>
  <c r="F96" i="1"/>
  <c r="C96" i="1"/>
  <c r="B96" i="1"/>
  <c r="N95" i="1"/>
  <c r="L95" i="1"/>
  <c r="F95" i="1"/>
  <c r="C95" i="1"/>
  <c r="B95" i="1"/>
  <c r="N94" i="1"/>
  <c r="L94" i="1"/>
  <c r="F94" i="1"/>
  <c r="C94" i="1"/>
  <c r="B94" i="1"/>
  <c r="N93" i="1"/>
  <c r="L93" i="1"/>
  <c r="F93" i="1"/>
  <c r="C93" i="1"/>
  <c r="B93" i="1"/>
  <c r="N92" i="1"/>
  <c r="L92" i="1"/>
  <c r="F92" i="1"/>
  <c r="C92" i="1"/>
  <c r="B92" i="1"/>
  <c r="N91" i="1"/>
  <c r="L91" i="1"/>
  <c r="F91" i="1"/>
  <c r="C91" i="1"/>
  <c r="B91" i="1"/>
  <c r="N90" i="1"/>
  <c r="L90" i="1"/>
  <c r="F90" i="1"/>
  <c r="C90" i="1"/>
  <c r="B90" i="1"/>
  <c r="N89" i="1"/>
  <c r="L89" i="1"/>
  <c r="F89" i="1"/>
  <c r="C89" i="1"/>
  <c r="B89" i="1"/>
  <c r="N88" i="1"/>
  <c r="L88" i="1"/>
  <c r="F88" i="1"/>
  <c r="C88" i="1"/>
  <c r="B88" i="1"/>
  <c r="N87" i="1"/>
  <c r="L87" i="1"/>
  <c r="F87" i="1"/>
  <c r="C87" i="1"/>
  <c r="B87" i="1"/>
  <c r="N86" i="1"/>
  <c r="L86" i="1"/>
  <c r="F86" i="1"/>
  <c r="C86" i="1"/>
  <c r="B86" i="1"/>
  <c r="N85" i="1"/>
  <c r="L85" i="1"/>
  <c r="F85" i="1"/>
  <c r="C85" i="1"/>
  <c r="B85" i="1"/>
  <c r="N84" i="1"/>
  <c r="L84" i="1"/>
  <c r="F84" i="1"/>
  <c r="C84" i="1"/>
  <c r="B84" i="1"/>
  <c r="N83" i="1"/>
  <c r="L83" i="1"/>
  <c r="F83" i="1"/>
  <c r="C83" i="1"/>
  <c r="B83" i="1"/>
  <c r="N82" i="1"/>
  <c r="L82" i="1"/>
  <c r="F82" i="1"/>
  <c r="C82" i="1"/>
  <c r="B82" i="1"/>
  <c r="N81" i="1"/>
  <c r="L81" i="1"/>
  <c r="F81" i="1"/>
  <c r="C81" i="1"/>
  <c r="B81" i="1"/>
  <c r="N80" i="1"/>
  <c r="L80" i="1"/>
  <c r="F80" i="1"/>
  <c r="C80" i="1"/>
  <c r="B80" i="1"/>
  <c r="N79" i="1"/>
  <c r="L79" i="1"/>
  <c r="F79" i="1"/>
  <c r="C79" i="1"/>
  <c r="B79" i="1"/>
  <c r="N78" i="1"/>
  <c r="L78" i="1"/>
  <c r="F78" i="1"/>
  <c r="C78" i="1"/>
  <c r="B78" i="1"/>
  <c r="N77" i="1"/>
  <c r="L77" i="1"/>
  <c r="F77" i="1"/>
  <c r="C77" i="1"/>
  <c r="B77" i="1"/>
  <c r="N76" i="1"/>
  <c r="L76" i="1"/>
  <c r="F76" i="1"/>
  <c r="C76" i="1"/>
  <c r="B76" i="1"/>
  <c r="N75" i="1"/>
  <c r="L75" i="1"/>
  <c r="F75" i="1"/>
  <c r="C75" i="1"/>
  <c r="B75" i="1"/>
  <c r="N74" i="1"/>
  <c r="L74" i="1"/>
  <c r="F74" i="1"/>
  <c r="C74" i="1"/>
  <c r="B74" i="1"/>
  <c r="N73" i="1"/>
  <c r="L73" i="1"/>
  <c r="F73" i="1"/>
  <c r="C73" i="1"/>
  <c r="B73" i="1"/>
  <c r="N72" i="1"/>
  <c r="L72" i="1"/>
  <c r="F72" i="1"/>
  <c r="C72" i="1"/>
  <c r="B72" i="1"/>
  <c r="N71" i="1"/>
  <c r="L71" i="1"/>
  <c r="F71" i="1"/>
  <c r="C71" i="1"/>
  <c r="B71" i="1"/>
  <c r="N70" i="1"/>
  <c r="L70" i="1"/>
  <c r="F70" i="1"/>
  <c r="C70" i="1"/>
  <c r="B70" i="1"/>
  <c r="N69" i="1"/>
  <c r="L69" i="1"/>
  <c r="F69" i="1"/>
  <c r="C69" i="1"/>
  <c r="B69" i="1"/>
  <c r="N68" i="1"/>
  <c r="L68" i="1"/>
  <c r="F68" i="1"/>
  <c r="C68" i="1"/>
  <c r="B68" i="1"/>
  <c r="N67" i="1"/>
  <c r="L67" i="1"/>
  <c r="F67" i="1"/>
  <c r="C67" i="1"/>
  <c r="B67" i="1"/>
  <c r="N66" i="1"/>
  <c r="L66" i="1"/>
  <c r="F66" i="1"/>
  <c r="C66" i="1"/>
  <c r="B66" i="1"/>
  <c r="N65" i="1"/>
  <c r="L65" i="1"/>
  <c r="F65" i="1"/>
  <c r="C65" i="1"/>
  <c r="B65" i="1"/>
  <c r="N64" i="1"/>
  <c r="L64" i="1"/>
  <c r="F64" i="1"/>
  <c r="C64" i="1"/>
  <c r="B64" i="1"/>
  <c r="N63" i="1"/>
  <c r="L63" i="1"/>
  <c r="F63" i="1"/>
  <c r="C63" i="1"/>
  <c r="B63" i="1"/>
  <c r="N62" i="1"/>
  <c r="L62" i="1"/>
  <c r="F62" i="1"/>
  <c r="C62" i="1"/>
  <c r="B62" i="1"/>
  <c r="N61" i="1"/>
  <c r="L61" i="1"/>
  <c r="F61" i="1"/>
  <c r="C61" i="1"/>
  <c r="B61" i="1"/>
  <c r="N60" i="1"/>
  <c r="L60" i="1"/>
  <c r="F60" i="1"/>
  <c r="C60" i="1"/>
  <c r="B60" i="1"/>
  <c r="N59" i="1"/>
  <c r="L59" i="1"/>
  <c r="F59" i="1"/>
  <c r="C59" i="1"/>
  <c r="B59" i="1"/>
  <c r="N58" i="1"/>
  <c r="L58" i="1"/>
  <c r="F58" i="1"/>
  <c r="C58" i="1"/>
  <c r="B58" i="1"/>
  <c r="N57" i="1"/>
  <c r="L57" i="1"/>
  <c r="F57" i="1"/>
  <c r="C57" i="1"/>
  <c r="B57" i="1"/>
  <c r="N56" i="1"/>
  <c r="L56" i="1"/>
  <c r="F56" i="1"/>
  <c r="C56" i="1"/>
  <c r="B56" i="1"/>
  <c r="N55" i="1"/>
  <c r="L55" i="1"/>
  <c r="F55" i="1"/>
  <c r="C55" i="1"/>
  <c r="B55" i="1"/>
  <c r="N54" i="1"/>
  <c r="L54" i="1"/>
  <c r="F54" i="1"/>
  <c r="C54" i="1"/>
  <c r="B54" i="1"/>
  <c r="N53" i="1"/>
  <c r="L53" i="1"/>
  <c r="F53" i="1"/>
  <c r="C53" i="1"/>
  <c r="B53" i="1"/>
  <c r="N52" i="1"/>
  <c r="L52" i="1"/>
  <c r="F52" i="1"/>
  <c r="C52" i="1"/>
  <c r="B52" i="1"/>
  <c r="N51" i="1"/>
  <c r="L51" i="1"/>
  <c r="F51" i="1"/>
  <c r="C51" i="1"/>
  <c r="B51" i="1"/>
  <c r="N50" i="1"/>
  <c r="L50" i="1"/>
  <c r="F50" i="1"/>
  <c r="C50" i="1"/>
  <c r="B50" i="1"/>
  <c r="N49" i="1"/>
  <c r="L49" i="1"/>
  <c r="F49" i="1"/>
  <c r="C49" i="1"/>
  <c r="B49" i="1"/>
  <c r="N48" i="1"/>
  <c r="L48" i="1"/>
  <c r="F48" i="1"/>
  <c r="C48" i="1"/>
  <c r="B48" i="1"/>
  <c r="N47" i="1"/>
  <c r="L47" i="1"/>
  <c r="F47" i="1"/>
  <c r="C47" i="1"/>
  <c r="B47" i="1"/>
  <c r="N46" i="1"/>
  <c r="L46" i="1"/>
  <c r="F46" i="1"/>
  <c r="C46" i="1"/>
  <c r="B46" i="1"/>
  <c r="N45" i="1"/>
  <c r="L45" i="1"/>
  <c r="F45" i="1"/>
  <c r="C45" i="1"/>
  <c r="B45" i="1"/>
  <c r="N44" i="1"/>
  <c r="L44" i="1"/>
  <c r="F44" i="1"/>
  <c r="C44" i="1"/>
  <c r="B44" i="1"/>
  <c r="N43" i="1"/>
  <c r="L43" i="1"/>
  <c r="F43" i="1"/>
  <c r="C43" i="1"/>
  <c r="B43" i="1"/>
  <c r="N42" i="1"/>
  <c r="L42" i="1"/>
  <c r="F42" i="1"/>
  <c r="C42" i="1"/>
  <c r="B42" i="1"/>
  <c r="N41" i="1"/>
  <c r="L41" i="1"/>
  <c r="F41" i="1"/>
  <c r="C41" i="1"/>
  <c r="B41" i="1"/>
  <c r="N40" i="1"/>
  <c r="L40" i="1"/>
  <c r="F40" i="1"/>
  <c r="C40" i="1"/>
  <c r="B40" i="1"/>
  <c r="N39" i="1"/>
  <c r="L39" i="1"/>
  <c r="F39" i="1"/>
  <c r="C39" i="1"/>
  <c r="B39" i="1"/>
  <c r="N38" i="1"/>
  <c r="L38" i="1"/>
  <c r="F38" i="1"/>
  <c r="C38" i="1"/>
  <c r="B38" i="1"/>
  <c r="N37" i="1"/>
  <c r="L37" i="1"/>
  <c r="F37" i="1"/>
  <c r="C37" i="1"/>
  <c r="B37" i="1"/>
  <c r="N36" i="1"/>
  <c r="L36" i="1"/>
  <c r="F36" i="1"/>
  <c r="C36" i="1"/>
  <c r="B36" i="1"/>
  <c r="N35" i="1"/>
  <c r="L35" i="1"/>
  <c r="F35" i="1"/>
  <c r="C35" i="1"/>
  <c r="B35" i="1"/>
  <c r="N34" i="1"/>
  <c r="L34" i="1"/>
  <c r="F34" i="1"/>
  <c r="C34" i="1"/>
  <c r="B34" i="1"/>
  <c r="N33" i="1"/>
  <c r="L33" i="1"/>
  <c r="F33" i="1"/>
  <c r="C33" i="1"/>
  <c r="B33" i="1"/>
  <c r="N32" i="1"/>
  <c r="L32" i="1"/>
  <c r="F32" i="1"/>
  <c r="C32" i="1"/>
  <c r="B32" i="1"/>
  <c r="N31" i="1"/>
  <c r="L31" i="1"/>
  <c r="F31" i="1"/>
  <c r="C31" i="1"/>
  <c r="B31" i="1"/>
  <c r="N30" i="1"/>
  <c r="L30" i="1"/>
  <c r="F30" i="1"/>
  <c r="C30" i="1"/>
  <c r="B30" i="1"/>
  <c r="N29" i="1"/>
  <c r="L29" i="1"/>
  <c r="F29" i="1"/>
  <c r="C29" i="1"/>
  <c r="B29" i="1"/>
  <c r="N28" i="1"/>
  <c r="L28" i="1"/>
  <c r="F28" i="1"/>
  <c r="C28" i="1"/>
  <c r="B28" i="1"/>
  <c r="N27" i="1"/>
  <c r="L27" i="1"/>
  <c r="F27" i="1"/>
  <c r="C27" i="1"/>
  <c r="B27" i="1"/>
  <c r="N26" i="1"/>
  <c r="L26" i="1"/>
  <c r="F26" i="1"/>
  <c r="C26" i="1"/>
  <c r="B26" i="1"/>
  <c r="N25" i="1"/>
  <c r="L25" i="1"/>
  <c r="F25" i="1"/>
  <c r="C25" i="1"/>
  <c r="B25" i="1"/>
  <c r="N24" i="1"/>
  <c r="L24" i="1"/>
  <c r="F24" i="1"/>
  <c r="C24" i="1"/>
  <c r="B24" i="1"/>
  <c r="N23" i="1"/>
  <c r="L23" i="1"/>
  <c r="F23" i="1"/>
  <c r="C23" i="1"/>
  <c r="B23" i="1"/>
  <c r="N22" i="1"/>
  <c r="L22" i="1"/>
  <c r="F22" i="1"/>
  <c r="C22" i="1"/>
  <c r="B22" i="1"/>
  <c r="N21" i="1"/>
  <c r="L21" i="1"/>
  <c r="F21" i="1"/>
  <c r="C21" i="1"/>
  <c r="B21" i="1"/>
  <c r="N20" i="1"/>
  <c r="L20" i="1"/>
  <c r="F20" i="1"/>
  <c r="C20" i="1"/>
  <c r="B20" i="1"/>
  <c r="N19" i="1"/>
  <c r="L19" i="1"/>
  <c r="F19" i="1"/>
  <c r="C19" i="1"/>
  <c r="B19" i="1"/>
  <c r="N18" i="1"/>
  <c r="L18" i="1"/>
  <c r="F18" i="1"/>
  <c r="C18" i="1"/>
  <c r="B18" i="1"/>
  <c r="N17" i="1"/>
  <c r="L17" i="1"/>
  <c r="F17" i="1"/>
  <c r="C17" i="1"/>
  <c r="B17" i="1"/>
  <c r="N16" i="1"/>
  <c r="L16" i="1"/>
  <c r="F16" i="1"/>
  <c r="C16" i="1"/>
  <c r="B16" i="1"/>
  <c r="N15" i="1"/>
  <c r="L15" i="1"/>
  <c r="F15" i="1"/>
  <c r="C15" i="1"/>
  <c r="B15" i="1"/>
  <c r="N14" i="1"/>
  <c r="L14" i="1"/>
  <c r="F14" i="1"/>
  <c r="C14" i="1"/>
  <c r="B14" i="1"/>
  <c r="N13" i="1"/>
  <c r="L13" i="1"/>
  <c r="F13" i="1"/>
  <c r="C13" i="1"/>
  <c r="B13" i="1"/>
  <c r="N12" i="1"/>
  <c r="L12" i="1"/>
  <c r="F12" i="1"/>
  <c r="C12" i="1"/>
  <c r="B12" i="1"/>
  <c r="N11" i="1"/>
  <c r="L11" i="1"/>
  <c r="F11" i="1"/>
  <c r="C11" i="1"/>
  <c r="B11" i="1"/>
  <c r="N10" i="1"/>
  <c r="L10" i="1"/>
  <c r="F10" i="1"/>
  <c r="C10" i="1"/>
  <c r="B10" i="1"/>
  <c r="N9" i="1"/>
  <c r="M9" i="1"/>
  <c r="L9" i="1"/>
  <c r="K9" i="1"/>
  <c r="J9" i="1"/>
  <c r="I9" i="1"/>
  <c r="H9" i="1"/>
  <c r="G9" i="1"/>
  <c r="F9" i="1"/>
  <c r="E9" i="1"/>
  <c r="D9" i="1"/>
  <c r="C9" i="1"/>
  <c r="B9" i="1"/>
  <c r="H8" i="1"/>
  <c r="G8" i="1"/>
  <c r="F8" i="1"/>
  <c r="E8" i="1"/>
  <c r="L7" i="1"/>
  <c r="K7" i="1"/>
  <c r="J7" i="1"/>
  <c r="G7" i="1"/>
  <c r="E7" i="1"/>
  <c r="N6" i="1"/>
  <c r="M6" i="1"/>
  <c r="J6" i="1"/>
  <c r="I6" i="1"/>
  <c r="E6" i="1"/>
  <c r="D6" i="1"/>
  <c r="M5" i="1"/>
  <c r="I5" i="1"/>
  <c r="D5" i="1"/>
  <c r="C5" i="1"/>
  <c r="B5" i="1"/>
  <c r="A5" i="1"/>
</calcChain>
</file>

<file path=xl/sharedStrings.xml><?xml version="1.0" encoding="utf-8"?>
<sst xmlns="http://schemas.openxmlformats.org/spreadsheetml/2006/main" count="248" uniqueCount="117">
  <si>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</si>
  <si>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Выборы депутатов Думы Иркутского муниципального округа Иркутской области первого созыва</t>
  </si>
  <si>
    <t>По состоянию на 12.08.2025</t>
  </si>
  <si>
    <t>В тыс. руб.</t>
  </si>
  <si>
    <t>1</t>
  </si>
  <si>
    <t>1.</t>
  </si>
  <si>
    <t/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</si>
  <si>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</si>
  <si>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</si>
  <si>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</si>
  <si>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</si>
  <si>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</si>
  <si>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</si>
  <si>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</si>
  <si>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</si>
  <si>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</si>
  <si>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</si>
  <si>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</si>
  <si>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</si>
  <si>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</si>
  <si>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</si>
  <si>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</si>
  <si>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</si>
  <si>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11.08.2025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</si>
  <si>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</si>
  <si>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</si>
  <si>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</si>
  <si>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</si>
  <si>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</si>
  <si>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</si>
  <si>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</si>
  <si>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</si>
  <si>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</si>
  <si>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</si>
  <si>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</si>
  <si>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</si>
  <si>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</si>
  <si>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</si>
  <si>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</si>
  <si>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</si>
  <si>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</si>
  <si>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</si>
  <si>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</si>
  <si>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</si>
  <si>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</si>
  <si>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</si>
  <si>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</si>
  <si>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</si>
  <si>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</si>
  <si>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</si>
  <si>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</si>
  <si>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</si>
  <si>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</si>
  <si>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</si>
  <si>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</si>
  <si>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</si>
  <si>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</si>
  <si>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</si>
  <si>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07.08.2025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</si>
  <si>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</si>
  <si>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</si>
  <si>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</si>
  <si>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</si>
  <si>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</si>
  <si>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</si>
  <si>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</si>
  <si>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</si>
  <si>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</si>
  <si>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</si>
  <si>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</si>
  <si>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</si>
  <si>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</si>
  <si>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</si>
  <si>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</si>
  <si>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</si>
  <si>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</si>
  <si>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</si>
  <si>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</si>
  <si>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</si>
  <si>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</si>
  <si>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</si>
  <si>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</si>
  <si>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</si>
  <si>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</si>
  <si>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</si>
  <si>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</si>
  <si>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</si>
  <si>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</si>
  <si>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28.07.2025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</si>
  <si>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</si>
  <si>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</si>
  <si>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</si>
  <si>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</si>
  <si>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</si>
  <si>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</si>
  <si>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</si>
  <si>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</si>
  <si>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</si>
  <si>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</si>
  <si>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</si>
  <si>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</si>
  <si>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</si>
  <si>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</si>
  <si>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</si>
  <si>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</si>
  <si>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</si>
  <si>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</si>
  <si>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</si>
  <si>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</si>
  <si>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</si>
  <si>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</si>
  <si>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</si>
  <si>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</si>
  <si>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 xml:space="preserve">Председатель 
Иркутской районной территориальной избирательной комиссии                      </t>
  </si>
  <si>
    <r>
      <rPr>
        <u/>
        <sz val="12"/>
        <color theme="1"/>
        <rFont val="Times New Roman"/>
        <family val="1"/>
        <charset val="204"/>
      </rPr>
      <t xml:space="preserve"> Е.В. Иванова</t>
    </r>
    <r>
      <rPr>
        <sz val="12"/>
        <color theme="1"/>
        <rFont val="Times New Roman"/>
        <family val="1"/>
        <charset val="204"/>
      </rPr>
      <t xml:space="preserve">
  (инициалы, фамилия)
</t>
    </r>
  </si>
  <si>
    <t xml:space="preserve"> _____________                                    
      (подпись)                                                                    
</t>
  </si>
  <si>
    <t>одномандатные избирательные округа с  № 1 по №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</si>
</sst>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/>
    <xf numFmtId="0" fontId="3" fillId="3" borderId="1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3" fillId="3" borderId="1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49" fontId="7" fillId="0" borderId="0" xfId="0" applyNumberFormat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8"/>
  <sheetViews>
    <sheetView tabSelected="1" workbookViewId="0">
      <selection activeCell="N6" sqref="N6:N8"/>
    </sheetView>
  </sheetViews>
  <sheetFormatPr defaultRowHeight="15" x14ac:dyDescent="0.25"/>
  <cols>
    <col min="1" max="1" width="8.140625" customWidth="1"/>
    <col min="2" max="3" width="12.7109375" customWidth="1"/>
    <col min="4" max="5" width="15.7109375" customWidth="1"/>
    <col min="6" max="6" width="9.7109375" customWidth="1"/>
    <col min="7" max="7" width="15.7109375" customWidth="1"/>
    <col min="8" max="8" width="5.7109375" customWidth="1"/>
    <col min="9" max="9" width="15.7109375" customWidth="1"/>
    <col min="10" max="10" width="13.140625" customWidth="1"/>
    <col min="11" max="11" width="15.7109375" customWidth="1"/>
    <col min="12" max="12" width="9.7109375" customWidth="1"/>
    <col min="13" max="13" width="15.7109375" customWidth="1"/>
    <col min="14" max="14" width="18.5703125" customWidth="1"/>
    <col min="15" max="15" width="9.140625" customWidth="1"/>
  </cols>
  <sheetData>
    <row r="1" spans="1:15" ht="114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5" ht="15.75" x14ac:dyDescent="0.2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5" x14ac:dyDescent="0.25">
      <c r="A3" s="14"/>
      <c r="B3" s="14"/>
      <c r="C3" s="14"/>
      <c r="D3" s="14"/>
      <c r="E3" s="25" t="s">
        <v>116</v>
      </c>
      <c r="F3" s="25"/>
      <c r="G3" s="25"/>
      <c r="H3" s="25"/>
      <c r="I3" s="25"/>
      <c r="J3" s="25"/>
      <c r="K3" s="25"/>
      <c r="L3" s="14"/>
      <c r="M3" s="14"/>
      <c r="N3" s="15" t="s">
        <v>2</v>
      </c>
    </row>
    <row r="4" spans="1:15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5" t="s">
        <v>3</v>
      </c>
    </row>
    <row r="5" spans="1:15" ht="24" customHeight="1" x14ac:dyDescent="0.25">
      <c r="A5" s="26" t="str">
        <f t="shared" ref="A5" si="0">"№
п/п"</f>
        <v>№
п/п</v>
      </c>
      <c r="B5" s="26" t="str">
        <f t="shared" ref="B5" si="1">"Наименование территории"</f>
        <v>Наименование территории</v>
      </c>
      <c r="C5" s="26" t="str">
        <f t="shared" ref="C5" si="2">"Фамилия, имя, отчество кандидата"</f>
        <v>Фамилия, имя, отчество кандидата</v>
      </c>
      <c r="D5" s="26" t="str">
        <f t="shared" ref="D5" si="3">"Поступило средств"</f>
        <v>Поступило средств</v>
      </c>
      <c r="E5" s="26"/>
      <c r="F5" s="26"/>
      <c r="G5" s="26"/>
      <c r="H5" s="26"/>
      <c r="I5" s="26" t="str">
        <f t="shared" ref="I5" si="4">"Израсходовано средств"</f>
        <v>Израсходовано средств</v>
      </c>
      <c r="J5" s="26"/>
      <c r="K5" s="26"/>
      <c r="L5" s="26"/>
      <c r="M5" s="26" t="str">
        <f t="shared" ref="M5" si="5">"Возвращено средств"</f>
        <v>Возвращено средств</v>
      </c>
      <c r="N5" s="26"/>
    </row>
    <row r="6" spans="1:15" ht="53.1" customHeight="1" x14ac:dyDescent="0.25">
      <c r="A6" s="26"/>
      <c r="B6" s="26"/>
      <c r="C6" s="26"/>
      <c r="D6" s="26" t="str">
        <f t="shared" ref="D6" si="6">"всего"</f>
        <v>всего</v>
      </c>
      <c r="E6" s="26" t="str">
        <f t="shared" ref="E6" si="7">"из них"</f>
        <v>из них</v>
      </c>
      <c r="F6" s="26"/>
      <c r="G6" s="26"/>
      <c r="H6" s="26"/>
      <c r="I6" s="26" t="str">
        <f t="shared" ref="I6" si="8">"всего"</f>
        <v>всего</v>
      </c>
      <c r="J6" s="26" t="str">
        <f t="shared" ref="J6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6" s="26"/>
      <c r="L6" s="26"/>
      <c r="M6" s="26" t="str">
        <f t="shared" ref="M6" si="10">"сумма, тыс. руб."</f>
        <v>сумма, тыс. руб.</v>
      </c>
      <c r="N6" s="26" t="str">
        <f t="shared" ref="N6" si="11">"основание возврата"</f>
        <v>основание возврата</v>
      </c>
      <c r="O6" s="1"/>
    </row>
    <row r="7" spans="1:15" ht="69.95" customHeight="1" x14ac:dyDescent="0.25">
      <c r="A7" s="26"/>
      <c r="B7" s="26"/>
      <c r="C7" s="26"/>
      <c r="D7" s="26"/>
      <c r="E7" s="26" t="str">
        <f t="shared" ref="E7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7" s="26"/>
      <c r="G7" s="26" t="str">
        <f t="shared" ref="G7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7" s="26"/>
      <c r="I7" s="26"/>
      <c r="J7" s="26" t="str">
        <f t="shared" ref="J7" si="14">"дата операции"</f>
        <v>дата операции</v>
      </c>
      <c r="K7" s="26" t="str">
        <f t="shared" ref="K7" si="15">"сумма, тыс. руб."</f>
        <v>сумма, тыс. руб.</v>
      </c>
      <c r="L7" s="26" t="str">
        <f t="shared" ref="L7" si="16">"назначение платежа"</f>
        <v>назначение платежа</v>
      </c>
      <c r="M7" s="26"/>
      <c r="N7" s="26"/>
      <c r="O7" s="1"/>
    </row>
    <row r="8" spans="1:15" ht="75" customHeight="1" x14ac:dyDescent="0.25">
      <c r="A8" s="26"/>
      <c r="B8" s="26"/>
      <c r="C8" s="26"/>
      <c r="D8" s="26"/>
      <c r="E8" s="2" t="str">
        <f>"сумма, тыс. руб."</f>
        <v>сумма, тыс. руб.</v>
      </c>
      <c r="F8" s="2" t="str">
        <f>"наименование юридического лица"</f>
        <v>наименование юридического лица</v>
      </c>
      <c r="G8" s="2" t="str">
        <f>"сумма, тыс. руб."</f>
        <v>сумма, тыс. руб.</v>
      </c>
      <c r="H8" s="2" t="str">
        <f>"кол-во граждан"</f>
        <v>кол-во граждан</v>
      </c>
      <c r="I8" s="26"/>
      <c r="J8" s="26"/>
      <c r="K8" s="26"/>
      <c r="L8" s="26"/>
      <c r="M8" s="26"/>
      <c r="N8" s="26"/>
      <c r="O8" s="1"/>
    </row>
    <row r="9" spans="1:15" x14ac:dyDescent="0.25">
      <c r="A9" s="4" t="s">
        <v>4</v>
      </c>
      <c r="B9" s="2" t="str">
        <f>"2"</f>
        <v>2</v>
      </c>
      <c r="C9" s="2" t="str">
        <f>"3"</f>
        <v>3</v>
      </c>
      <c r="D9" s="2" t="str">
        <f>"4"</f>
        <v>4</v>
      </c>
      <c r="E9" s="2" t="str">
        <f>"5"</f>
        <v>5</v>
      </c>
      <c r="F9" s="2" t="str">
        <f>"6"</f>
        <v>6</v>
      </c>
      <c r="G9" s="2" t="str">
        <f>"7"</f>
        <v>7</v>
      </c>
      <c r="H9" s="2" t="str">
        <f>"8"</f>
        <v>8</v>
      </c>
      <c r="I9" s="2" t="str">
        <f>"9"</f>
        <v>9</v>
      </c>
      <c r="J9" s="2" t="str">
        <f>"10"</f>
        <v>10</v>
      </c>
      <c r="K9" s="2" t="str">
        <f>"11"</f>
        <v>11</v>
      </c>
      <c r="L9" s="2" t="str">
        <f>"12"</f>
        <v>12</v>
      </c>
      <c r="M9" s="2" t="str">
        <f>"13"</f>
        <v>13</v>
      </c>
      <c r="N9" s="2" t="str">
        <f>"14"</f>
        <v>14</v>
      </c>
      <c r="O9" s="1"/>
    </row>
    <row r="10" spans="1:15" ht="45" customHeight="1" x14ac:dyDescent="0.25">
      <c r="A10" s="5" t="s">
        <v>5</v>
      </c>
      <c r="B10" s="6" t="str">
        <f>"Округ №1 (№ 1)"</f>
        <v>Округ №1 (№ 1)</v>
      </c>
      <c r="C10" s="6" t="str">
        <f>"Банников Роман Евгеньевич"</f>
        <v>Банников Роман Евгеньевич</v>
      </c>
      <c r="D10" s="7">
        <v>0.1</v>
      </c>
      <c r="E10" s="7"/>
      <c r="F10" s="6" t="str">
        <f>""</f>
        <v/>
      </c>
      <c r="G10" s="7"/>
      <c r="H10" s="8"/>
      <c r="I10" s="7">
        <v>0</v>
      </c>
      <c r="J10" s="9"/>
      <c r="K10" s="7"/>
      <c r="L10" s="6" t="str">
        <f>""</f>
        <v/>
      </c>
      <c r="M10" s="7"/>
      <c r="N10" s="6" t="str">
        <f>""</f>
        <v/>
      </c>
      <c r="O10" s="3"/>
    </row>
    <row r="11" spans="1:15" ht="30" customHeight="1" x14ac:dyDescent="0.25">
      <c r="A11" s="4" t="s">
        <v>6</v>
      </c>
      <c r="B11" s="10" t="str">
        <f>""</f>
        <v/>
      </c>
      <c r="C11" s="10" t="str">
        <f>"Итого по кандидату"</f>
        <v>Итого по кандидату</v>
      </c>
      <c r="D11" s="11">
        <v>0.1</v>
      </c>
      <c r="E11" s="11">
        <v>0</v>
      </c>
      <c r="F11" s="10" t="str">
        <f>""</f>
        <v/>
      </c>
      <c r="G11" s="11">
        <v>0</v>
      </c>
      <c r="H11" s="12"/>
      <c r="I11" s="11">
        <v>0</v>
      </c>
      <c r="J11" s="13"/>
      <c r="K11" s="11">
        <v>0</v>
      </c>
      <c r="L11" s="10" t="str">
        <f>""</f>
        <v/>
      </c>
      <c r="M11" s="11">
        <v>0</v>
      </c>
      <c r="N11" s="10" t="str">
        <f>""</f>
        <v/>
      </c>
      <c r="O11" s="3"/>
    </row>
    <row r="12" spans="1:15" ht="45" customHeight="1" x14ac:dyDescent="0.25">
      <c r="A12" s="5" t="s">
        <v>7</v>
      </c>
      <c r="B12" s="6" t="str">
        <f>"Округ №1 (№ 1)"</f>
        <v>Округ №1 (№ 1)</v>
      </c>
      <c r="C12" s="6" t="str">
        <f>"Бушуев Константин Сергеевич"</f>
        <v>Бушуев Константин Сергеевич</v>
      </c>
      <c r="D12" s="7">
        <v>12</v>
      </c>
      <c r="E12" s="7"/>
      <c r="F12" s="6" t="str">
        <f>""</f>
        <v/>
      </c>
      <c r="G12" s="7"/>
      <c r="H12" s="8"/>
      <c r="I12" s="7">
        <v>11.15</v>
      </c>
      <c r="J12" s="9"/>
      <c r="K12" s="7"/>
      <c r="L12" s="6" t="str">
        <f>""</f>
        <v/>
      </c>
      <c r="M12" s="7"/>
      <c r="N12" s="6" t="str">
        <f>""</f>
        <v/>
      </c>
      <c r="O12" s="3"/>
    </row>
    <row r="13" spans="1:15" ht="30" customHeight="1" x14ac:dyDescent="0.25">
      <c r="A13" s="4" t="s">
        <v>6</v>
      </c>
      <c r="B13" s="10" t="str">
        <f>""</f>
        <v/>
      </c>
      <c r="C13" s="10" t="str">
        <f>"Итого по кандидату"</f>
        <v>Итого по кандидату</v>
      </c>
      <c r="D13" s="11">
        <v>12</v>
      </c>
      <c r="E13" s="11">
        <v>0</v>
      </c>
      <c r="F13" s="10" t="str">
        <f>""</f>
        <v/>
      </c>
      <c r="G13" s="11">
        <v>0</v>
      </c>
      <c r="H13" s="12"/>
      <c r="I13" s="11">
        <v>11.15</v>
      </c>
      <c r="J13" s="13"/>
      <c r="K13" s="11">
        <v>0</v>
      </c>
      <c r="L13" s="10" t="str">
        <f>""</f>
        <v/>
      </c>
      <c r="M13" s="11">
        <v>0</v>
      </c>
      <c r="N13" s="10" t="str">
        <f>""</f>
        <v/>
      </c>
      <c r="O13" s="3"/>
    </row>
    <row r="14" spans="1:15" ht="45" customHeight="1" x14ac:dyDescent="0.25">
      <c r="A14" s="5" t="s">
        <v>8</v>
      </c>
      <c r="B14" s="6" t="str">
        <f>"Округ №1 (№ 1)"</f>
        <v>Округ №1 (№ 1)</v>
      </c>
      <c r="C14" s="6" t="str">
        <f>"Кабаков Антон Евгеньевич"</f>
        <v>Кабаков Антон Евгеньевич</v>
      </c>
      <c r="D14" s="7">
        <v>10</v>
      </c>
      <c r="E14" s="7"/>
      <c r="F14" s="6" t="str">
        <f>""</f>
        <v/>
      </c>
      <c r="G14" s="7"/>
      <c r="H14" s="8"/>
      <c r="I14" s="7">
        <v>0.36</v>
      </c>
      <c r="J14" s="9"/>
      <c r="K14" s="7"/>
      <c r="L14" s="6" t="str">
        <f>""</f>
        <v/>
      </c>
      <c r="M14" s="7"/>
      <c r="N14" s="6" t="str">
        <f>""</f>
        <v/>
      </c>
      <c r="O14" s="3"/>
    </row>
    <row r="15" spans="1:15" ht="30" customHeight="1" x14ac:dyDescent="0.25">
      <c r="A15" s="4" t="s">
        <v>6</v>
      </c>
      <c r="B15" s="10" t="str">
        <f>""</f>
        <v/>
      </c>
      <c r="C15" s="10" t="str">
        <f>"Итого по кандидату"</f>
        <v>Итого по кандидату</v>
      </c>
      <c r="D15" s="11">
        <v>10</v>
      </c>
      <c r="E15" s="11">
        <v>0</v>
      </c>
      <c r="F15" s="10" t="str">
        <f>""</f>
        <v/>
      </c>
      <c r="G15" s="11">
        <v>0</v>
      </c>
      <c r="H15" s="12"/>
      <c r="I15" s="11">
        <v>0.36</v>
      </c>
      <c r="J15" s="13"/>
      <c r="K15" s="11">
        <v>0</v>
      </c>
      <c r="L15" s="10" t="str">
        <f>""</f>
        <v/>
      </c>
      <c r="M15" s="11">
        <v>0</v>
      </c>
      <c r="N15" s="10" t="str">
        <f>""</f>
        <v/>
      </c>
      <c r="O15" s="3"/>
    </row>
    <row r="16" spans="1:15" ht="60" customHeight="1" x14ac:dyDescent="0.25">
      <c r="A16" s="5" t="s">
        <v>9</v>
      </c>
      <c r="B16" s="6" t="str">
        <f>"Округ №1 (№ 1)"</f>
        <v>Округ №1 (№ 1)</v>
      </c>
      <c r="C16" s="6" t="str">
        <f>"Прокопьева Александра Александровна"</f>
        <v>Прокопьева Александра Александровна</v>
      </c>
      <c r="D16" s="7">
        <v>0.5</v>
      </c>
      <c r="E16" s="7"/>
      <c r="F16" s="6" t="str">
        <f>""</f>
        <v/>
      </c>
      <c r="G16" s="7"/>
      <c r="H16" s="8"/>
      <c r="I16" s="7">
        <v>0.5</v>
      </c>
      <c r="J16" s="9"/>
      <c r="K16" s="7"/>
      <c r="L16" s="6" t="str">
        <f>""</f>
        <v/>
      </c>
      <c r="M16" s="7"/>
      <c r="N16" s="6" t="str">
        <f>""</f>
        <v/>
      </c>
      <c r="O16" s="3"/>
    </row>
    <row r="17" spans="1:15" ht="30" customHeight="1" x14ac:dyDescent="0.25">
      <c r="A17" s="4" t="s">
        <v>6</v>
      </c>
      <c r="B17" s="10" t="str">
        <f>""</f>
        <v/>
      </c>
      <c r="C17" s="10" t="str">
        <f>"Итого по кандидату"</f>
        <v>Итого по кандидату</v>
      </c>
      <c r="D17" s="11">
        <v>0.5</v>
      </c>
      <c r="E17" s="11">
        <v>0</v>
      </c>
      <c r="F17" s="10" t="str">
        <f>""</f>
        <v/>
      </c>
      <c r="G17" s="11">
        <v>0</v>
      </c>
      <c r="H17" s="12"/>
      <c r="I17" s="11">
        <v>0.5</v>
      </c>
      <c r="J17" s="13"/>
      <c r="K17" s="11">
        <v>0</v>
      </c>
      <c r="L17" s="10" t="str">
        <f>""</f>
        <v/>
      </c>
      <c r="M17" s="11">
        <v>0</v>
      </c>
      <c r="N17" s="10" t="str">
        <f>""</f>
        <v/>
      </c>
      <c r="O17" s="3"/>
    </row>
    <row r="18" spans="1:15" ht="45" customHeight="1" x14ac:dyDescent="0.25">
      <c r="A18" s="5" t="s">
        <v>10</v>
      </c>
      <c r="B18" s="6" t="str">
        <f>"Округ №1 (№ 1)"</f>
        <v>Округ №1 (№ 1)</v>
      </c>
      <c r="C18" s="6" t="str">
        <f>"Рябошапко Илья Евгеньевич"</f>
        <v>Рябошапко Илья Евгеньевич</v>
      </c>
      <c r="D18" s="7">
        <v>0.5</v>
      </c>
      <c r="E18" s="7"/>
      <c r="F18" s="6" t="str">
        <f>""</f>
        <v/>
      </c>
      <c r="G18" s="7"/>
      <c r="H18" s="8"/>
      <c r="I18" s="7">
        <v>0.5</v>
      </c>
      <c r="J18" s="9"/>
      <c r="K18" s="7"/>
      <c r="L18" s="6" t="str">
        <f>""</f>
        <v/>
      </c>
      <c r="M18" s="7"/>
      <c r="N18" s="6" t="str">
        <f>""</f>
        <v/>
      </c>
      <c r="O18" s="3"/>
    </row>
    <row r="19" spans="1:15" ht="30" customHeight="1" x14ac:dyDescent="0.25">
      <c r="A19" s="4" t="s">
        <v>6</v>
      </c>
      <c r="B19" s="10" t="str">
        <f>""</f>
        <v/>
      </c>
      <c r="C19" s="10" t="str">
        <f>"Итого по кандидату"</f>
        <v>Итого по кандидату</v>
      </c>
      <c r="D19" s="11">
        <v>0.5</v>
      </c>
      <c r="E19" s="11">
        <v>0</v>
      </c>
      <c r="F19" s="10" t="str">
        <f>""</f>
        <v/>
      </c>
      <c r="G19" s="11">
        <v>0</v>
      </c>
      <c r="H19" s="12"/>
      <c r="I19" s="11">
        <v>0.5</v>
      </c>
      <c r="J19" s="13"/>
      <c r="K19" s="11">
        <v>0</v>
      </c>
      <c r="L19" s="10" t="str">
        <f>""</f>
        <v/>
      </c>
      <c r="M19" s="11">
        <v>0</v>
      </c>
      <c r="N19" s="10" t="str">
        <f>""</f>
        <v/>
      </c>
      <c r="O19" s="3"/>
    </row>
    <row r="20" spans="1:15" ht="45" customHeight="1" x14ac:dyDescent="0.25">
      <c r="A20" s="5" t="s">
        <v>11</v>
      </c>
      <c r="B20" s="6" t="str">
        <f>"Округ №1 (№ 1)"</f>
        <v>Округ №1 (№ 1)</v>
      </c>
      <c r="C20" s="6" t="str">
        <f>"Сереброва Аксинья Михайловна"</f>
        <v>Сереброва Аксинья Михайловна</v>
      </c>
      <c r="D20" s="7">
        <v>300</v>
      </c>
      <c r="E20" s="7"/>
      <c r="F20" s="6" t="str">
        <f>""</f>
        <v/>
      </c>
      <c r="G20" s="7"/>
      <c r="H20" s="8"/>
      <c r="I20" s="7">
        <v>17.61</v>
      </c>
      <c r="J20" s="9"/>
      <c r="K20" s="7"/>
      <c r="L20" s="6" t="str">
        <f>""</f>
        <v/>
      </c>
      <c r="M20" s="7"/>
      <c r="N20" s="6" t="str">
        <f>""</f>
        <v/>
      </c>
      <c r="O20" s="3"/>
    </row>
    <row r="21" spans="1:15" ht="30" customHeight="1" x14ac:dyDescent="0.25">
      <c r="A21" s="4" t="s">
        <v>6</v>
      </c>
      <c r="B21" s="10" t="str">
        <f>""</f>
        <v/>
      </c>
      <c r="C21" s="10" t="str">
        <f>"Итого по кандидату"</f>
        <v>Итого по кандидату</v>
      </c>
      <c r="D21" s="11">
        <v>300</v>
      </c>
      <c r="E21" s="11">
        <v>0</v>
      </c>
      <c r="F21" s="10" t="str">
        <f>""</f>
        <v/>
      </c>
      <c r="G21" s="11">
        <v>0</v>
      </c>
      <c r="H21" s="12"/>
      <c r="I21" s="11">
        <v>17.61</v>
      </c>
      <c r="J21" s="13"/>
      <c r="K21" s="11">
        <v>0</v>
      </c>
      <c r="L21" s="10" t="str">
        <f>""</f>
        <v/>
      </c>
      <c r="M21" s="11">
        <v>0</v>
      </c>
      <c r="N21" s="10" t="str">
        <f>""</f>
        <v/>
      </c>
      <c r="O21" s="3"/>
    </row>
    <row r="22" spans="1:15" ht="75" customHeight="1" x14ac:dyDescent="0.25">
      <c r="A22" s="4" t="s">
        <v>6</v>
      </c>
      <c r="B22" s="10" t="str">
        <f>""</f>
        <v/>
      </c>
      <c r="C22" s="10" t="str">
        <f>"Избирательный округ (Округ №1 (№ 1)), всего"</f>
        <v>Избирательный округ (Округ №1 (№ 1)), всего</v>
      </c>
      <c r="D22" s="11">
        <v>323.10000000000002</v>
      </c>
      <c r="E22" s="11">
        <v>0</v>
      </c>
      <c r="F22" s="10" t="str">
        <f>""</f>
        <v/>
      </c>
      <c r="G22" s="11">
        <v>0</v>
      </c>
      <c r="H22" s="12"/>
      <c r="I22" s="11">
        <v>30.12</v>
      </c>
      <c r="J22" s="13"/>
      <c r="K22" s="11">
        <v>0</v>
      </c>
      <c r="L22" s="10" t="str">
        <f>""</f>
        <v/>
      </c>
      <c r="M22" s="11">
        <v>0</v>
      </c>
      <c r="N22" s="10" t="str">
        <f>""</f>
        <v/>
      </c>
      <c r="O22" s="3"/>
    </row>
    <row r="23" spans="1:15" ht="60" customHeight="1" x14ac:dyDescent="0.25">
      <c r="A23" s="5" t="s">
        <v>12</v>
      </c>
      <c r="B23" s="6" t="str">
        <f>"Округ №2 (№ 2)"</f>
        <v>Округ №2 (№ 2)</v>
      </c>
      <c r="C23" s="6" t="str">
        <f>"Бартель Ирина Владимировна"</f>
        <v>Бартель Ирина Владимировна</v>
      </c>
      <c r="D23" s="7">
        <v>5.0999999999999996</v>
      </c>
      <c r="E23" s="7"/>
      <c r="F23" s="6" t="str">
        <f>""</f>
        <v/>
      </c>
      <c r="G23" s="7"/>
      <c r="H23" s="8"/>
      <c r="I23" s="7">
        <v>0</v>
      </c>
      <c r="J23" s="9"/>
      <c r="K23" s="7"/>
      <c r="L23" s="6" t="str">
        <f>""</f>
        <v/>
      </c>
      <c r="M23" s="7"/>
      <c r="N23" s="6" t="str">
        <f>""</f>
        <v/>
      </c>
      <c r="O23" s="3"/>
    </row>
    <row r="24" spans="1:15" ht="30" customHeight="1" x14ac:dyDescent="0.25">
      <c r="A24" s="4" t="s">
        <v>6</v>
      </c>
      <c r="B24" s="10" t="str">
        <f>""</f>
        <v/>
      </c>
      <c r="C24" s="10" t="str">
        <f>"Итого по кандидату"</f>
        <v>Итого по кандидату</v>
      </c>
      <c r="D24" s="11">
        <v>5.0999999999999996</v>
      </c>
      <c r="E24" s="11">
        <v>0</v>
      </c>
      <c r="F24" s="10" t="str">
        <f>""</f>
        <v/>
      </c>
      <c r="G24" s="11">
        <v>0</v>
      </c>
      <c r="H24" s="12"/>
      <c r="I24" s="11">
        <v>0</v>
      </c>
      <c r="J24" s="13"/>
      <c r="K24" s="11">
        <v>0</v>
      </c>
      <c r="L24" s="10" t="str">
        <f>""</f>
        <v/>
      </c>
      <c r="M24" s="11">
        <v>0</v>
      </c>
      <c r="N24" s="10" t="str">
        <f>""</f>
        <v/>
      </c>
      <c r="O24" s="3"/>
    </row>
    <row r="25" spans="1:15" ht="45" customHeight="1" x14ac:dyDescent="0.25">
      <c r="A25" s="5" t="s">
        <v>13</v>
      </c>
      <c r="B25" s="6" t="str">
        <f>"Округ №2 (№ 2)"</f>
        <v>Округ №2 (№ 2)</v>
      </c>
      <c r="C25" s="6" t="str">
        <f>"Погодаев Георгий Игоревич"</f>
        <v>Погодаев Георгий Игоревич</v>
      </c>
      <c r="D25" s="7">
        <v>300</v>
      </c>
      <c r="E25" s="7"/>
      <c r="F25" s="6" t="str">
        <f>""</f>
        <v/>
      </c>
      <c r="G25" s="7"/>
      <c r="H25" s="8"/>
      <c r="I25" s="7">
        <v>17.61</v>
      </c>
      <c r="J25" s="9"/>
      <c r="K25" s="7"/>
      <c r="L25" s="6" t="str">
        <f>""</f>
        <v/>
      </c>
      <c r="M25" s="7"/>
      <c r="N25" s="6" t="str">
        <f>""</f>
        <v/>
      </c>
      <c r="O25" s="3"/>
    </row>
    <row r="26" spans="1:15" ht="30" customHeight="1" x14ac:dyDescent="0.25">
      <c r="A26" s="4" t="s">
        <v>6</v>
      </c>
      <c r="B26" s="10" t="str">
        <f>""</f>
        <v/>
      </c>
      <c r="C26" s="10" t="str">
        <f>"Итого по кандидату"</f>
        <v>Итого по кандидату</v>
      </c>
      <c r="D26" s="11">
        <v>300</v>
      </c>
      <c r="E26" s="11">
        <v>0</v>
      </c>
      <c r="F26" s="10" t="str">
        <f>""</f>
        <v/>
      </c>
      <c r="G26" s="11">
        <v>0</v>
      </c>
      <c r="H26" s="12"/>
      <c r="I26" s="11">
        <v>17.61</v>
      </c>
      <c r="J26" s="13"/>
      <c r="K26" s="11">
        <v>0</v>
      </c>
      <c r="L26" s="10" t="str">
        <f>""</f>
        <v/>
      </c>
      <c r="M26" s="11">
        <v>0</v>
      </c>
      <c r="N26" s="10" t="str">
        <f>""</f>
        <v/>
      </c>
      <c r="O26" s="3"/>
    </row>
    <row r="27" spans="1:15" ht="60" customHeight="1" x14ac:dyDescent="0.25">
      <c r="A27" s="5" t="s">
        <v>14</v>
      </c>
      <c r="B27" s="6" t="str">
        <f>"Округ №2 (№ 2)"</f>
        <v>Округ №2 (№ 2)</v>
      </c>
      <c r="C27" s="6" t="str">
        <f>"Цыганов Андрей Анатольевич"</f>
        <v>Цыганов Андрей Анатольевич</v>
      </c>
      <c r="D27" s="7">
        <v>151.02000000000001</v>
      </c>
      <c r="E27" s="7">
        <v>151.02000000000001</v>
      </c>
      <c r="F27" s="6" t="str">
        <f>"ООО ""ДМП"""</f>
        <v>ООО "ДМП"</v>
      </c>
      <c r="G27" s="7"/>
      <c r="H27" s="8"/>
      <c r="I27" s="7">
        <v>0</v>
      </c>
      <c r="J27" s="9"/>
      <c r="K27" s="7"/>
      <c r="L27" s="6" t="str">
        <f>""</f>
        <v/>
      </c>
      <c r="M27" s="7"/>
      <c r="N27" s="6" t="str">
        <f>""</f>
        <v/>
      </c>
      <c r="O27" s="3"/>
    </row>
    <row r="28" spans="1:15" ht="30" customHeight="1" x14ac:dyDescent="0.25">
      <c r="A28" s="4" t="s">
        <v>6</v>
      </c>
      <c r="B28" s="10" t="str">
        <f>""</f>
        <v/>
      </c>
      <c r="C28" s="10" t="str">
        <f>"Итого по кандидату"</f>
        <v>Итого по кандидату</v>
      </c>
      <c r="D28" s="11">
        <v>151.02000000000001</v>
      </c>
      <c r="E28" s="11">
        <v>151.02000000000001</v>
      </c>
      <c r="F28" s="10" t="str">
        <f>""</f>
        <v/>
      </c>
      <c r="G28" s="11">
        <v>0</v>
      </c>
      <c r="H28" s="12"/>
      <c r="I28" s="11">
        <v>0</v>
      </c>
      <c r="J28" s="13"/>
      <c r="K28" s="11">
        <v>0</v>
      </c>
      <c r="L28" s="10" t="str">
        <f>""</f>
        <v/>
      </c>
      <c r="M28" s="11">
        <v>0</v>
      </c>
      <c r="N28" s="10" t="str">
        <f>""</f>
        <v/>
      </c>
      <c r="O28" s="3"/>
    </row>
    <row r="29" spans="1:15" ht="75" customHeight="1" x14ac:dyDescent="0.25">
      <c r="A29" s="4" t="s">
        <v>6</v>
      </c>
      <c r="B29" s="10" t="str">
        <f>""</f>
        <v/>
      </c>
      <c r="C29" s="10" t="str">
        <f>"Избирательный округ (Округ №2 (№ 2)), всего"</f>
        <v>Избирательный округ (Округ №2 (№ 2)), всего</v>
      </c>
      <c r="D29" s="11">
        <v>456.12</v>
      </c>
      <c r="E29" s="11">
        <v>151.02000000000001</v>
      </c>
      <c r="F29" s="10" t="str">
        <f>""</f>
        <v/>
      </c>
      <c r="G29" s="11">
        <v>0</v>
      </c>
      <c r="H29" s="12"/>
      <c r="I29" s="11">
        <v>17.61</v>
      </c>
      <c r="J29" s="13"/>
      <c r="K29" s="11">
        <v>0</v>
      </c>
      <c r="L29" s="10" t="str">
        <f>""</f>
        <v/>
      </c>
      <c r="M29" s="11">
        <v>0</v>
      </c>
      <c r="N29" s="10" t="str">
        <f>""</f>
        <v/>
      </c>
      <c r="O29" s="3"/>
    </row>
    <row r="30" spans="1:15" ht="45" customHeight="1" x14ac:dyDescent="0.25">
      <c r="A30" s="5" t="s">
        <v>15</v>
      </c>
      <c r="B30" s="6" t="str">
        <f>"Округ №3 (№ 3)"</f>
        <v>Округ №3 (№ 3)</v>
      </c>
      <c r="C30" s="6" t="str">
        <f>"Иванов Александр Васильевич"</f>
        <v>Иванов Александр Васильевич</v>
      </c>
      <c r="D30" s="7">
        <v>0.5</v>
      </c>
      <c r="E30" s="7"/>
      <c r="F30" s="6" t="str">
        <f>""</f>
        <v/>
      </c>
      <c r="G30" s="7"/>
      <c r="H30" s="8"/>
      <c r="I30" s="7">
        <v>0.5</v>
      </c>
      <c r="J30" s="9"/>
      <c r="K30" s="7"/>
      <c r="L30" s="6" t="str">
        <f>""</f>
        <v/>
      </c>
      <c r="M30" s="7"/>
      <c r="N30" s="6" t="str">
        <f>""</f>
        <v/>
      </c>
      <c r="O30" s="3"/>
    </row>
    <row r="31" spans="1:15" ht="30" customHeight="1" x14ac:dyDescent="0.25">
      <c r="A31" s="4" t="s">
        <v>6</v>
      </c>
      <c r="B31" s="10" t="str">
        <f>""</f>
        <v/>
      </c>
      <c r="C31" s="10" t="str">
        <f>"Итого по кандидату"</f>
        <v>Итого по кандидату</v>
      </c>
      <c r="D31" s="11">
        <v>0.5</v>
      </c>
      <c r="E31" s="11">
        <v>0</v>
      </c>
      <c r="F31" s="10" t="str">
        <f>""</f>
        <v/>
      </c>
      <c r="G31" s="11">
        <v>0</v>
      </c>
      <c r="H31" s="12"/>
      <c r="I31" s="11">
        <v>0.5</v>
      </c>
      <c r="J31" s="13"/>
      <c r="K31" s="11">
        <v>0</v>
      </c>
      <c r="L31" s="10" t="str">
        <f>""</f>
        <v/>
      </c>
      <c r="M31" s="11">
        <v>0</v>
      </c>
      <c r="N31" s="10" t="str">
        <f>""</f>
        <v/>
      </c>
      <c r="O31" s="3"/>
    </row>
    <row r="32" spans="1:15" ht="45" customHeight="1" x14ac:dyDescent="0.25">
      <c r="A32" s="5" t="s">
        <v>16</v>
      </c>
      <c r="B32" s="6" t="str">
        <f>"Округ №3 (№ 3)"</f>
        <v>Округ №3 (№ 3)</v>
      </c>
      <c r="C32" s="6" t="str">
        <f>"Иванов Кирилл Алексеевич"</f>
        <v>Иванов Кирилл Алексеевич</v>
      </c>
      <c r="D32" s="7">
        <v>200</v>
      </c>
      <c r="E32" s="7">
        <v>200</v>
      </c>
      <c r="F32" s="6" t="str">
        <f>"ООО ""СК ФОРПОСТ"""</f>
        <v>ООО "СК ФОРПОСТ"</v>
      </c>
      <c r="G32" s="7"/>
      <c r="H32" s="8"/>
      <c r="I32" s="7">
        <v>64.69</v>
      </c>
      <c r="J32" s="9"/>
      <c r="K32" s="7"/>
      <c r="L32" s="6" t="str">
        <f>""</f>
        <v/>
      </c>
      <c r="M32" s="7"/>
      <c r="N32" s="6" t="str">
        <f>""</f>
        <v/>
      </c>
      <c r="O32" s="3"/>
    </row>
    <row r="33" spans="1:15" ht="30" customHeight="1" x14ac:dyDescent="0.25">
      <c r="A33" s="4" t="s">
        <v>6</v>
      </c>
      <c r="B33" s="10" t="str">
        <f>""</f>
        <v/>
      </c>
      <c r="C33" s="10" t="str">
        <f>"Итого по кандидату"</f>
        <v>Итого по кандидату</v>
      </c>
      <c r="D33" s="11">
        <v>200</v>
      </c>
      <c r="E33" s="11">
        <v>200</v>
      </c>
      <c r="F33" s="10" t="str">
        <f>""</f>
        <v/>
      </c>
      <c r="G33" s="11">
        <v>0</v>
      </c>
      <c r="H33" s="12"/>
      <c r="I33" s="11">
        <v>64.69</v>
      </c>
      <c r="J33" s="13"/>
      <c r="K33" s="11">
        <v>0</v>
      </c>
      <c r="L33" s="10" t="str">
        <f>""</f>
        <v/>
      </c>
      <c r="M33" s="11">
        <v>0</v>
      </c>
      <c r="N33" s="10" t="str">
        <f>""</f>
        <v/>
      </c>
      <c r="O33" s="3"/>
    </row>
    <row r="34" spans="1:15" ht="45" customHeight="1" x14ac:dyDescent="0.25">
      <c r="A34" s="5" t="s">
        <v>17</v>
      </c>
      <c r="B34" s="6" t="str">
        <f>"Округ №3 (№ 3)"</f>
        <v>Округ №3 (№ 3)</v>
      </c>
      <c r="C34" s="6" t="str">
        <f>"Мамедов Джамал Мустафович"</f>
        <v>Мамедов Джамал Мустафович</v>
      </c>
      <c r="D34" s="7">
        <v>1</v>
      </c>
      <c r="E34" s="7"/>
      <c r="F34" s="6" t="str">
        <f>""</f>
        <v/>
      </c>
      <c r="G34" s="7"/>
      <c r="H34" s="8"/>
      <c r="I34" s="7">
        <v>1</v>
      </c>
      <c r="J34" s="9"/>
      <c r="K34" s="7"/>
      <c r="L34" s="6" t="str">
        <f>""</f>
        <v/>
      </c>
      <c r="M34" s="7"/>
      <c r="N34" s="6" t="str">
        <f>""</f>
        <v/>
      </c>
      <c r="O34" s="3"/>
    </row>
    <row r="35" spans="1:15" ht="30" customHeight="1" x14ac:dyDescent="0.25">
      <c r="A35" s="4" t="s">
        <v>6</v>
      </c>
      <c r="B35" s="10" t="str">
        <f>""</f>
        <v/>
      </c>
      <c r="C35" s="10" t="str">
        <f>"Итого по кандидату"</f>
        <v>Итого по кандидату</v>
      </c>
      <c r="D35" s="11">
        <v>1</v>
      </c>
      <c r="E35" s="11">
        <v>0</v>
      </c>
      <c r="F35" s="10" t="str">
        <f>""</f>
        <v/>
      </c>
      <c r="G35" s="11">
        <v>0</v>
      </c>
      <c r="H35" s="12"/>
      <c r="I35" s="11">
        <v>1</v>
      </c>
      <c r="J35" s="13"/>
      <c r="K35" s="11">
        <v>0</v>
      </c>
      <c r="L35" s="10" t="str">
        <f>""</f>
        <v/>
      </c>
      <c r="M35" s="11">
        <v>0</v>
      </c>
      <c r="N35" s="10" t="str">
        <f>""</f>
        <v/>
      </c>
      <c r="O35" s="3"/>
    </row>
    <row r="36" spans="1:15" ht="45" customHeight="1" x14ac:dyDescent="0.25">
      <c r="A36" s="5" t="s">
        <v>18</v>
      </c>
      <c r="B36" s="6" t="str">
        <f>"Округ №3 (№ 3)"</f>
        <v>Округ №3 (№ 3)</v>
      </c>
      <c r="C36" s="6" t="str">
        <f>"Мирвалиев Фируз Сафарович"</f>
        <v>Мирвалиев Фируз Сафарович</v>
      </c>
      <c r="D36" s="7">
        <v>225</v>
      </c>
      <c r="E36" s="7"/>
      <c r="F36" s="6" t="str">
        <f>""</f>
        <v/>
      </c>
      <c r="G36" s="7"/>
      <c r="H36" s="8"/>
      <c r="I36" s="7">
        <v>125.72</v>
      </c>
      <c r="J36" s="9"/>
      <c r="K36" s="7"/>
      <c r="L36" s="6" t="str">
        <f>""</f>
        <v/>
      </c>
      <c r="M36" s="7"/>
      <c r="N36" s="6" t="str">
        <f>""</f>
        <v/>
      </c>
      <c r="O36" s="3"/>
    </row>
    <row r="37" spans="1:15" ht="30" customHeight="1" x14ac:dyDescent="0.25">
      <c r="A37" s="4" t="s">
        <v>6</v>
      </c>
      <c r="B37" s="10" t="str">
        <f>""</f>
        <v/>
      </c>
      <c r="C37" s="10" t="str">
        <f>"Итого по кандидату"</f>
        <v>Итого по кандидату</v>
      </c>
      <c r="D37" s="11">
        <v>225</v>
      </c>
      <c r="E37" s="11">
        <v>0</v>
      </c>
      <c r="F37" s="10" t="str">
        <f>""</f>
        <v/>
      </c>
      <c r="G37" s="11">
        <v>0</v>
      </c>
      <c r="H37" s="12"/>
      <c r="I37" s="11">
        <v>125.72</v>
      </c>
      <c r="J37" s="13"/>
      <c r="K37" s="11">
        <v>0</v>
      </c>
      <c r="L37" s="10" t="str">
        <f>""</f>
        <v/>
      </c>
      <c r="M37" s="11">
        <v>0</v>
      </c>
      <c r="N37" s="10" t="str">
        <f>""</f>
        <v/>
      </c>
      <c r="O37" s="3"/>
    </row>
    <row r="38" spans="1:15" ht="45" customHeight="1" x14ac:dyDescent="0.25">
      <c r="A38" s="5" t="s">
        <v>19</v>
      </c>
      <c r="B38" s="6" t="str">
        <f>"Округ №3 (№ 3)"</f>
        <v>Округ №3 (№ 3)</v>
      </c>
      <c r="C38" s="6" t="str">
        <f>"Сушкевич Алена Дмитриевна"</f>
        <v>Сушкевич Алена Дмитриевна</v>
      </c>
      <c r="D38" s="7">
        <v>0.5</v>
      </c>
      <c r="E38" s="7"/>
      <c r="F38" s="6" t="str">
        <f>""</f>
        <v/>
      </c>
      <c r="G38" s="7"/>
      <c r="H38" s="8"/>
      <c r="I38" s="7">
        <v>0.5</v>
      </c>
      <c r="J38" s="9"/>
      <c r="K38" s="7"/>
      <c r="L38" s="6" t="str">
        <f>""</f>
        <v/>
      </c>
      <c r="M38" s="7"/>
      <c r="N38" s="6" t="str">
        <f>""</f>
        <v/>
      </c>
      <c r="O38" s="3"/>
    </row>
    <row r="39" spans="1:15" ht="30" customHeight="1" x14ac:dyDescent="0.25">
      <c r="A39" s="4" t="s">
        <v>6</v>
      </c>
      <c r="B39" s="10" t="str">
        <f>""</f>
        <v/>
      </c>
      <c r="C39" s="10" t="str">
        <f>"Итого по кандидату"</f>
        <v>Итого по кандидату</v>
      </c>
      <c r="D39" s="11">
        <v>0.5</v>
      </c>
      <c r="E39" s="11">
        <v>0</v>
      </c>
      <c r="F39" s="10" t="str">
        <f>""</f>
        <v/>
      </c>
      <c r="G39" s="11">
        <v>0</v>
      </c>
      <c r="H39" s="12"/>
      <c r="I39" s="11">
        <v>0.5</v>
      </c>
      <c r="J39" s="13"/>
      <c r="K39" s="11">
        <v>0</v>
      </c>
      <c r="L39" s="10" t="str">
        <f>""</f>
        <v/>
      </c>
      <c r="M39" s="11">
        <v>0</v>
      </c>
      <c r="N39" s="10" t="str">
        <f>""</f>
        <v/>
      </c>
      <c r="O39" s="3"/>
    </row>
    <row r="40" spans="1:15" ht="195" customHeight="1" x14ac:dyDescent="0.25">
      <c r="A40" s="5" t="s">
        <v>20</v>
      </c>
      <c r="B40" s="6" t="str">
        <f>"Округ №3 (№ 3)"</f>
        <v>Округ №3 (№ 3)</v>
      </c>
      <c r="C40" s="6" t="str">
        <f>"Файзулин Евгений Ревович"</f>
        <v>Файзулин Евгений Ревович</v>
      </c>
      <c r="D40" s="7">
        <v>449</v>
      </c>
      <c r="E40" s="7">
        <v>149</v>
      </c>
      <c r="F40" s="6" t="str">
        <f>"ОБЩЕСТВО С ОГРАНИЧЕННОЙ ОТВЕТСТВЕННОСТЬЮ ""НЕВРОЛОГИЧЕСКИЙ ЦЕНТР ЗДОРОВЬЕ"""</f>
        <v>ОБЩЕСТВО С ОГРАНИЧЕННОЙ ОТВЕТСТВЕННОСТЬЮ "НЕВРОЛОГИЧЕСКИЙ ЦЕНТР ЗДОРОВЬЕ"</v>
      </c>
      <c r="G40" s="7"/>
      <c r="H40" s="8"/>
      <c r="I40" s="7">
        <v>39.11</v>
      </c>
      <c r="J40" s="9"/>
      <c r="K40" s="7"/>
      <c r="L40" s="6" t="str">
        <f>""</f>
        <v/>
      </c>
      <c r="M40" s="7">
        <v>50</v>
      </c>
      <c r="N40" s="6" t="str">
        <f>"Возврат средств юридическому лицу, не указавшему в платежном поручении предусмотренные законом сведения"</f>
        <v>Возврат средств юридическому лицу, не указавшему в платежном поручении предусмотренные законом сведения</v>
      </c>
      <c r="O40" s="3"/>
    </row>
    <row r="41" spans="1:15" ht="30" customHeight="1" x14ac:dyDescent="0.25">
      <c r="A41" s="4" t="s">
        <v>6</v>
      </c>
      <c r="B41" s="10" t="str">
        <f>""</f>
        <v/>
      </c>
      <c r="C41" s="10" t="str">
        <f>"Итого по кандидату"</f>
        <v>Итого по кандидату</v>
      </c>
      <c r="D41" s="11">
        <v>449</v>
      </c>
      <c r="E41" s="11">
        <v>149</v>
      </c>
      <c r="F41" s="10" t="str">
        <f>""</f>
        <v/>
      </c>
      <c r="G41" s="11">
        <v>0</v>
      </c>
      <c r="H41" s="12"/>
      <c r="I41" s="11">
        <v>39.11</v>
      </c>
      <c r="J41" s="13"/>
      <c r="K41" s="11">
        <v>0</v>
      </c>
      <c r="L41" s="10" t="str">
        <f>""</f>
        <v/>
      </c>
      <c r="M41" s="11">
        <v>50</v>
      </c>
      <c r="N41" s="10" t="str">
        <f>""</f>
        <v/>
      </c>
      <c r="O41" s="3"/>
    </row>
    <row r="42" spans="1:15" ht="75" customHeight="1" x14ac:dyDescent="0.25">
      <c r="A42" s="4" t="s">
        <v>6</v>
      </c>
      <c r="B42" s="10" t="str">
        <f>""</f>
        <v/>
      </c>
      <c r="C42" s="10" t="str">
        <f>"Избирательный округ (Округ №3 (№ 3)), всего"</f>
        <v>Избирательный округ (Округ №3 (№ 3)), всего</v>
      </c>
      <c r="D42" s="11">
        <v>876</v>
      </c>
      <c r="E42" s="11">
        <v>349</v>
      </c>
      <c r="F42" s="10" t="str">
        <f>""</f>
        <v/>
      </c>
      <c r="G42" s="11">
        <v>0</v>
      </c>
      <c r="H42" s="12"/>
      <c r="I42" s="11">
        <v>231.52</v>
      </c>
      <c r="J42" s="13"/>
      <c r="K42" s="11">
        <v>0</v>
      </c>
      <c r="L42" s="10" t="str">
        <f>""</f>
        <v/>
      </c>
      <c r="M42" s="11">
        <v>50</v>
      </c>
      <c r="N42" s="10" t="str">
        <f>""</f>
        <v/>
      </c>
      <c r="O42" s="3"/>
    </row>
    <row r="43" spans="1:15" ht="45" customHeight="1" x14ac:dyDescent="0.25">
      <c r="A43" s="5" t="s">
        <v>21</v>
      </c>
      <c r="B43" s="6" t="str">
        <f>"Округ №4 (№ 4)"</f>
        <v>Округ №4 (№ 4)</v>
      </c>
      <c r="C43" s="6" t="str">
        <f>"Богородская Софья Сергеевна"</f>
        <v>Богородская Софья Сергеевна</v>
      </c>
      <c r="D43" s="7">
        <v>75</v>
      </c>
      <c r="E43" s="7"/>
      <c r="F43" s="6" t="str">
        <f>""</f>
        <v/>
      </c>
      <c r="G43" s="7"/>
      <c r="H43" s="8"/>
      <c r="I43" s="7">
        <v>5.37</v>
      </c>
      <c r="J43" s="9"/>
      <c r="K43" s="7"/>
      <c r="L43" s="6" t="str">
        <f>""</f>
        <v/>
      </c>
      <c r="M43" s="7"/>
      <c r="N43" s="6" t="str">
        <f>""</f>
        <v/>
      </c>
      <c r="O43" s="3"/>
    </row>
    <row r="44" spans="1:15" ht="30" customHeight="1" x14ac:dyDescent="0.25">
      <c r="A44" s="4" t="s">
        <v>6</v>
      </c>
      <c r="B44" s="10" t="str">
        <f>""</f>
        <v/>
      </c>
      <c r="C44" s="10" t="str">
        <f>"Итого по кандидату"</f>
        <v>Итого по кандидату</v>
      </c>
      <c r="D44" s="11">
        <v>75</v>
      </c>
      <c r="E44" s="11">
        <v>0</v>
      </c>
      <c r="F44" s="10" t="str">
        <f>""</f>
        <v/>
      </c>
      <c r="G44" s="11">
        <v>0</v>
      </c>
      <c r="H44" s="12"/>
      <c r="I44" s="11">
        <v>5.37</v>
      </c>
      <c r="J44" s="13"/>
      <c r="K44" s="11">
        <v>0</v>
      </c>
      <c r="L44" s="10" t="str">
        <f>""</f>
        <v/>
      </c>
      <c r="M44" s="11">
        <v>0</v>
      </c>
      <c r="N44" s="10" t="str">
        <f>""</f>
        <v/>
      </c>
      <c r="O44" s="3"/>
    </row>
    <row r="45" spans="1:15" ht="75" customHeight="1" x14ac:dyDescent="0.25">
      <c r="A45" s="4" t="s">
        <v>6</v>
      </c>
      <c r="B45" s="10" t="str">
        <f>""</f>
        <v/>
      </c>
      <c r="C45" s="10" t="str">
        <f>"Избирательный округ (Округ №4 (№ 4)), всего"</f>
        <v>Избирательный округ (Округ №4 (№ 4)), всего</v>
      </c>
      <c r="D45" s="11">
        <v>75</v>
      </c>
      <c r="E45" s="11">
        <v>0</v>
      </c>
      <c r="F45" s="10" t="str">
        <f>""</f>
        <v/>
      </c>
      <c r="G45" s="11">
        <v>0</v>
      </c>
      <c r="H45" s="12"/>
      <c r="I45" s="11">
        <v>5.37</v>
      </c>
      <c r="J45" s="13"/>
      <c r="K45" s="11">
        <v>0</v>
      </c>
      <c r="L45" s="10" t="str">
        <f>""</f>
        <v/>
      </c>
      <c r="M45" s="11">
        <v>0</v>
      </c>
      <c r="N45" s="10" t="str">
        <f>""</f>
        <v/>
      </c>
      <c r="O45" s="3"/>
    </row>
    <row r="46" spans="1:15" ht="405" customHeight="1" x14ac:dyDescent="0.25">
      <c r="A46" s="5" t="s">
        <v>22</v>
      </c>
      <c r="B46" s="6" t="str">
        <f>"Округ №5 (№ 5)"</f>
        <v>Округ №5 (№ 5)</v>
      </c>
      <c r="C46" s="6" t="str">
        <f>"Балдин Александр Николаевич"</f>
        <v>Балдин Александр Николаевич</v>
      </c>
      <c r="D46" s="7">
        <v>250</v>
      </c>
      <c r="E46" s="7"/>
      <c r="F46" s="6" t="str">
        <f>""</f>
        <v/>
      </c>
      <c r="G46" s="7"/>
      <c r="H46" s="8"/>
      <c r="I46" s="7">
        <v>209.29</v>
      </c>
      <c r="J46" s="9" t="s">
        <v>23</v>
      </c>
      <c r="K46" s="7">
        <v>116.41</v>
      </c>
      <c r="L46" s="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46" s="7"/>
      <c r="N46" s="6" t="str">
        <f>""</f>
        <v/>
      </c>
      <c r="O46" s="3"/>
    </row>
    <row r="47" spans="1:15" ht="30" customHeight="1" x14ac:dyDescent="0.25">
      <c r="A47" s="4" t="s">
        <v>6</v>
      </c>
      <c r="B47" s="10" t="str">
        <f>""</f>
        <v/>
      </c>
      <c r="C47" s="10" t="str">
        <f>"Итого по кандидату"</f>
        <v>Итого по кандидату</v>
      </c>
      <c r="D47" s="11">
        <v>250</v>
      </c>
      <c r="E47" s="11">
        <v>0</v>
      </c>
      <c r="F47" s="10" t="str">
        <f>""</f>
        <v/>
      </c>
      <c r="G47" s="11">
        <v>0</v>
      </c>
      <c r="H47" s="12"/>
      <c r="I47" s="11">
        <v>209.29</v>
      </c>
      <c r="J47" s="13"/>
      <c r="K47" s="11">
        <v>116.41</v>
      </c>
      <c r="L47" s="10" t="str">
        <f>""</f>
        <v/>
      </c>
      <c r="M47" s="11">
        <v>0</v>
      </c>
      <c r="N47" s="10" t="str">
        <f>""</f>
        <v/>
      </c>
      <c r="O47" s="1"/>
    </row>
    <row r="48" spans="1:15" ht="60" customHeight="1" x14ac:dyDescent="0.25">
      <c r="A48" s="5" t="s">
        <v>24</v>
      </c>
      <c r="B48" s="6" t="str">
        <f>"Округ №5 (№ 5)"</f>
        <v>Округ №5 (№ 5)</v>
      </c>
      <c r="C48" s="6" t="str">
        <f>"Власов Виктор Вячеславович"</f>
        <v>Власов Виктор Вячеславович</v>
      </c>
      <c r="D48" s="7">
        <v>50.1</v>
      </c>
      <c r="E48" s="7"/>
      <c r="F48" s="6" t="str">
        <f>""</f>
        <v/>
      </c>
      <c r="G48" s="7"/>
      <c r="H48" s="8"/>
      <c r="I48" s="7">
        <v>35.9</v>
      </c>
      <c r="J48" s="9"/>
      <c r="K48" s="7"/>
      <c r="L48" s="6" t="str">
        <f>""</f>
        <v/>
      </c>
      <c r="M48" s="7"/>
      <c r="N48" s="6" t="str">
        <f>""</f>
        <v/>
      </c>
      <c r="O48" s="3"/>
    </row>
    <row r="49" spans="1:15" ht="30" customHeight="1" x14ac:dyDescent="0.25">
      <c r="A49" s="4" t="s">
        <v>6</v>
      </c>
      <c r="B49" s="10" t="str">
        <f>""</f>
        <v/>
      </c>
      <c r="C49" s="10" t="str">
        <f>"Итого по кандидату"</f>
        <v>Итого по кандидату</v>
      </c>
      <c r="D49" s="11">
        <v>50.1</v>
      </c>
      <c r="E49" s="11">
        <v>0</v>
      </c>
      <c r="F49" s="10" t="str">
        <f>""</f>
        <v/>
      </c>
      <c r="G49" s="11">
        <v>0</v>
      </c>
      <c r="H49" s="12"/>
      <c r="I49" s="11">
        <v>35.9</v>
      </c>
      <c r="J49" s="13"/>
      <c r="K49" s="11">
        <v>0</v>
      </c>
      <c r="L49" s="10" t="str">
        <f>""</f>
        <v/>
      </c>
      <c r="M49" s="11">
        <v>0</v>
      </c>
      <c r="N49" s="10" t="str">
        <f>""</f>
        <v/>
      </c>
      <c r="O49" s="3"/>
    </row>
    <row r="50" spans="1:15" ht="45" customHeight="1" x14ac:dyDescent="0.25">
      <c r="A50" s="5" t="s">
        <v>25</v>
      </c>
      <c r="B50" s="6" t="str">
        <f>"Округ №5 (№ 5)"</f>
        <v>Округ №5 (№ 5)</v>
      </c>
      <c r="C50" s="6" t="str">
        <f>"Сергеев Вячеслав Яковлевич"</f>
        <v>Сергеев Вячеслав Яковлевич</v>
      </c>
      <c r="D50" s="7">
        <v>0.5</v>
      </c>
      <c r="E50" s="7"/>
      <c r="F50" s="6" t="str">
        <f>""</f>
        <v/>
      </c>
      <c r="G50" s="7"/>
      <c r="H50" s="8"/>
      <c r="I50" s="7">
        <v>0.5</v>
      </c>
      <c r="J50" s="9"/>
      <c r="K50" s="7"/>
      <c r="L50" s="6" t="str">
        <f>""</f>
        <v/>
      </c>
      <c r="M50" s="7"/>
      <c r="N50" s="6" t="str">
        <f>""</f>
        <v/>
      </c>
      <c r="O50" s="3"/>
    </row>
    <row r="51" spans="1:15" ht="30" customHeight="1" x14ac:dyDescent="0.25">
      <c r="A51" s="4" t="s">
        <v>6</v>
      </c>
      <c r="B51" s="10" t="str">
        <f>""</f>
        <v/>
      </c>
      <c r="C51" s="10" t="str">
        <f>"Итого по кандидату"</f>
        <v>Итого по кандидату</v>
      </c>
      <c r="D51" s="11">
        <v>0.5</v>
      </c>
      <c r="E51" s="11">
        <v>0</v>
      </c>
      <c r="F51" s="10" t="str">
        <f>""</f>
        <v/>
      </c>
      <c r="G51" s="11">
        <v>0</v>
      </c>
      <c r="H51" s="12"/>
      <c r="I51" s="11">
        <v>0.5</v>
      </c>
      <c r="J51" s="13"/>
      <c r="K51" s="11">
        <v>0</v>
      </c>
      <c r="L51" s="10" t="str">
        <f>""</f>
        <v/>
      </c>
      <c r="M51" s="11">
        <v>0</v>
      </c>
      <c r="N51" s="10" t="str">
        <f>""</f>
        <v/>
      </c>
      <c r="O51" s="3"/>
    </row>
    <row r="52" spans="1:15" ht="45" customHeight="1" x14ac:dyDescent="0.25">
      <c r="A52" s="5" t="s">
        <v>26</v>
      </c>
      <c r="B52" s="6" t="str">
        <f>"Округ №5 (№ 5)"</f>
        <v>Округ №5 (№ 5)</v>
      </c>
      <c r="C52" s="6" t="str">
        <f>"Чайка Алексей Николаевич"</f>
        <v>Чайка Алексей Николаевич</v>
      </c>
      <c r="D52" s="7">
        <v>75</v>
      </c>
      <c r="E52" s="7"/>
      <c r="F52" s="6" t="str">
        <f>""</f>
        <v/>
      </c>
      <c r="G52" s="7"/>
      <c r="H52" s="8"/>
      <c r="I52" s="7">
        <v>17.61</v>
      </c>
      <c r="J52" s="9"/>
      <c r="K52" s="7"/>
      <c r="L52" s="6" t="str">
        <f>""</f>
        <v/>
      </c>
      <c r="M52" s="7"/>
      <c r="N52" s="6" t="str">
        <f>""</f>
        <v/>
      </c>
      <c r="O52" s="3"/>
    </row>
    <row r="53" spans="1:15" ht="30" customHeight="1" x14ac:dyDescent="0.25">
      <c r="A53" s="4" t="s">
        <v>6</v>
      </c>
      <c r="B53" s="10" t="str">
        <f>""</f>
        <v/>
      </c>
      <c r="C53" s="10" t="str">
        <f>"Итого по кандидату"</f>
        <v>Итого по кандидату</v>
      </c>
      <c r="D53" s="11">
        <v>75</v>
      </c>
      <c r="E53" s="11">
        <v>0</v>
      </c>
      <c r="F53" s="10" t="str">
        <f>""</f>
        <v/>
      </c>
      <c r="G53" s="11">
        <v>0</v>
      </c>
      <c r="H53" s="12"/>
      <c r="I53" s="11">
        <v>17.61</v>
      </c>
      <c r="J53" s="13"/>
      <c r="K53" s="11">
        <v>0</v>
      </c>
      <c r="L53" s="10" t="str">
        <f>""</f>
        <v/>
      </c>
      <c r="M53" s="11">
        <v>0</v>
      </c>
      <c r="N53" s="10" t="str">
        <f>""</f>
        <v/>
      </c>
      <c r="O53" s="3"/>
    </row>
    <row r="54" spans="1:15" ht="60" customHeight="1" x14ac:dyDescent="0.25">
      <c r="A54" s="5" t="s">
        <v>27</v>
      </c>
      <c r="B54" s="6" t="str">
        <f>"Округ №5 (№ 5)"</f>
        <v>Округ №5 (№ 5)</v>
      </c>
      <c r="C54" s="6" t="str">
        <f>"Чарков Виталий Владимирович"</f>
        <v>Чарков Виталий Владимирович</v>
      </c>
      <c r="D54" s="7">
        <v>30</v>
      </c>
      <c r="E54" s="7"/>
      <c r="F54" s="6" t="str">
        <f>""</f>
        <v/>
      </c>
      <c r="G54" s="7"/>
      <c r="H54" s="8"/>
      <c r="I54" s="7">
        <v>22.3</v>
      </c>
      <c r="J54" s="9"/>
      <c r="K54" s="7"/>
      <c r="L54" s="6" t="str">
        <f>""</f>
        <v/>
      </c>
      <c r="M54" s="7"/>
      <c r="N54" s="6" t="str">
        <f>""</f>
        <v/>
      </c>
      <c r="O54" s="3"/>
    </row>
    <row r="55" spans="1:15" ht="30" customHeight="1" x14ac:dyDescent="0.25">
      <c r="A55" s="4" t="s">
        <v>6</v>
      </c>
      <c r="B55" s="10" t="str">
        <f>""</f>
        <v/>
      </c>
      <c r="C55" s="10" t="str">
        <f>"Итого по кандидату"</f>
        <v>Итого по кандидату</v>
      </c>
      <c r="D55" s="11">
        <v>30</v>
      </c>
      <c r="E55" s="11">
        <v>0</v>
      </c>
      <c r="F55" s="10" t="str">
        <f>""</f>
        <v/>
      </c>
      <c r="G55" s="11">
        <v>0</v>
      </c>
      <c r="H55" s="12"/>
      <c r="I55" s="11">
        <v>22.3</v>
      </c>
      <c r="J55" s="13"/>
      <c r="K55" s="11">
        <v>0</v>
      </c>
      <c r="L55" s="10" t="str">
        <f>""</f>
        <v/>
      </c>
      <c r="M55" s="11">
        <v>0</v>
      </c>
      <c r="N55" s="10" t="str">
        <f>""</f>
        <v/>
      </c>
      <c r="O55" s="3"/>
    </row>
    <row r="56" spans="1:15" ht="75" customHeight="1" x14ac:dyDescent="0.25">
      <c r="A56" s="4" t="s">
        <v>6</v>
      </c>
      <c r="B56" s="10" t="str">
        <f>""</f>
        <v/>
      </c>
      <c r="C56" s="10" t="str">
        <f>"Избирательный округ (Округ №5 (№ 5)), всего"</f>
        <v>Избирательный округ (Округ №5 (№ 5)), всего</v>
      </c>
      <c r="D56" s="11">
        <v>405.6</v>
      </c>
      <c r="E56" s="11">
        <v>0</v>
      </c>
      <c r="F56" s="10" t="str">
        <f>""</f>
        <v/>
      </c>
      <c r="G56" s="11">
        <v>0</v>
      </c>
      <c r="H56" s="12"/>
      <c r="I56" s="11">
        <v>285.60000000000002</v>
      </c>
      <c r="J56" s="13"/>
      <c r="K56" s="11">
        <v>116.41</v>
      </c>
      <c r="L56" s="10" t="str">
        <f>""</f>
        <v/>
      </c>
      <c r="M56" s="11">
        <v>0</v>
      </c>
      <c r="N56" s="10" t="str">
        <f>""</f>
        <v/>
      </c>
      <c r="O56" s="3"/>
    </row>
    <row r="57" spans="1:15" ht="45" customHeight="1" x14ac:dyDescent="0.25">
      <c r="A57" s="5" t="s">
        <v>28</v>
      </c>
      <c r="B57" s="6" t="str">
        <f>"Округ №6 (№ 6)"</f>
        <v>Округ №6 (№ 6)</v>
      </c>
      <c r="C57" s="6" t="str">
        <f>"Брызгалов Александр Иванович"</f>
        <v>Брызгалов Александр Иванович</v>
      </c>
      <c r="D57" s="7">
        <v>735</v>
      </c>
      <c r="E57" s="7"/>
      <c r="F57" s="6" t="str">
        <f>""</f>
        <v/>
      </c>
      <c r="G57" s="7"/>
      <c r="H57" s="8"/>
      <c r="I57" s="7">
        <v>3.23</v>
      </c>
      <c r="J57" s="9"/>
      <c r="K57" s="7"/>
      <c r="L57" s="6" t="str">
        <f>""</f>
        <v/>
      </c>
      <c r="M57" s="7"/>
      <c r="N57" s="6" t="str">
        <f>""</f>
        <v/>
      </c>
      <c r="O57" s="3"/>
    </row>
    <row r="58" spans="1:15" ht="30" customHeight="1" x14ac:dyDescent="0.25">
      <c r="A58" s="4" t="s">
        <v>6</v>
      </c>
      <c r="B58" s="10" t="str">
        <f>""</f>
        <v/>
      </c>
      <c r="C58" s="10" t="str">
        <f>"Итого по кандидату"</f>
        <v>Итого по кандидату</v>
      </c>
      <c r="D58" s="11">
        <v>735</v>
      </c>
      <c r="E58" s="11">
        <v>0</v>
      </c>
      <c r="F58" s="10" t="str">
        <f>""</f>
        <v/>
      </c>
      <c r="G58" s="11">
        <v>0</v>
      </c>
      <c r="H58" s="12"/>
      <c r="I58" s="11">
        <v>3.23</v>
      </c>
      <c r="J58" s="13"/>
      <c r="K58" s="11">
        <v>0</v>
      </c>
      <c r="L58" s="10" t="str">
        <f>""</f>
        <v/>
      </c>
      <c r="M58" s="11">
        <v>0</v>
      </c>
      <c r="N58" s="10" t="str">
        <f>""</f>
        <v/>
      </c>
      <c r="O58" s="3"/>
    </row>
    <row r="59" spans="1:15" ht="45" customHeight="1" x14ac:dyDescent="0.25">
      <c r="A59" s="5" t="s">
        <v>29</v>
      </c>
      <c r="B59" s="6" t="str">
        <f>"Округ №6 (№ 6)"</f>
        <v>Округ №6 (№ 6)</v>
      </c>
      <c r="C59" s="6" t="str">
        <f>"Назаренко Виктор Евгеньевич"</f>
        <v>Назаренко Виктор Евгеньевич</v>
      </c>
      <c r="D59" s="7">
        <v>63</v>
      </c>
      <c r="E59" s="7"/>
      <c r="F59" s="6" t="str">
        <f>""</f>
        <v/>
      </c>
      <c r="G59" s="7"/>
      <c r="H59" s="8"/>
      <c r="I59" s="7">
        <v>34.46</v>
      </c>
      <c r="J59" s="9"/>
      <c r="K59" s="7"/>
      <c r="L59" s="6" t="str">
        <f>""</f>
        <v/>
      </c>
      <c r="M59" s="7"/>
      <c r="N59" s="6" t="str">
        <f>""</f>
        <v/>
      </c>
      <c r="O59" s="3"/>
    </row>
    <row r="60" spans="1:15" ht="30" customHeight="1" x14ac:dyDescent="0.25">
      <c r="A60" s="4" t="s">
        <v>6</v>
      </c>
      <c r="B60" s="10" t="str">
        <f>""</f>
        <v/>
      </c>
      <c r="C60" s="10" t="str">
        <f>"Итого по кандидату"</f>
        <v>Итого по кандидату</v>
      </c>
      <c r="D60" s="11">
        <v>63</v>
      </c>
      <c r="E60" s="11">
        <v>0</v>
      </c>
      <c r="F60" s="10" t="str">
        <f>""</f>
        <v/>
      </c>
      <c r="G60" s="11">
        <v>0</v>
      </c>
      <c r="H60" s="12"/>
      <c r="I60" s="11">
        <v>34.46</v>
      </c>
      <c r="J60" s="13"/>
      <c r="K60" s="11">
        <v>0</v>
      </c>
      <c r="L60" s="10" t="str">
        <f>""</f>
        <v/>
      </c>
      <c r="M60" s="11">
        <v>0</v>
      </c>
      <c r="N60" s="10" t="str">
        <f>""</f>
        <v/>
      </c>
      <c r="O60" s="3"/>
    </row>
    <row r="61" spans="1:15" ht="60" customHeight="1" x14ac:dyDescent="0.25">
      <c r="A61" s="5" t="s">
        <v>30</v>
      </c>
      <c r="B61" s="6" t="str">
        <f>"Округ №6 (№ 6)"</f>
        <v>Округ №6 (№ 6)</v>
      </c>
      <c r="C61" s="6" t="str">
        <f>"Сиразов Камиль Имаматынович"</f>
        <v>Сиразов Камиль Имаматынович</v>
      </c>
      <c r="D61" s="7">
        <v>108</v>
      </c>
      <c r="E61" s="7"/>
      <c r="F61" s="6" t="str">
        <f>""</f>
        <v/>
      </c>
      <c r="G61" s="7"/>
      <c r="H61" s="8"/>
      <c r="I61" s="7">
        <v>107.8</v>
      </c>
      <c r="J61" s="9"/>
      <c r="K61" s="7"/>
      <c r="L61" s="6" t="str">
        <f>""</f>
        <v/>
      </c>
      <c r="M61" s="7"/>
      <c r="N61" s="6" t="str">
        <f>""</f>
        <v/>
      </c>
      <c r="O61" s="3"/>
    </row>
    <row r="62" spans="1:15" ht="30" customHeight="1" x14ac:dyDescent="0.25">
      <c r="A62" s="4" t="s">
        <v>6</v>
      </c>
      <c r="B62" s="10" t="str">
        <f>""</f>
        <v/>
      </c>
      <c r="C62" s="10" t="str">
        <f>"Итого по кандидату"</f>
        <v>Итого по кандидату</v>
      </c>
      <c r="D62" s="11">
        <v>108</v>
      </c>
      <c r="E62" s="11">
        <v>0</v>
      </c>
      <c r="F62" s="10" t="str">
        <f>""</f>
        <v/>
      </c>
      <c r="G62" s="11">
        <v>0</v>
      </c>
      <c r="H62" s="12"/>
      <c r="I62" s="11">
        <v>107.8</v>
      </c>
      <c r="J62" s="13"/>
      <c r="K62" s="11">
        <v>0</v>
      </c>
      <c r="L62" s="10" t="str">
        <f>""</f>
        <v/>
      </c>
      <c r="M62" s="11">
        <v>0</v>
      </c>
      <c r="N62" s="10" t="str">
        <f>""</f>
        <v/>
      </c>
      <c r="O62" s="3"/>
    </row>
    <row r="63" spans="1:15" ht="60" customHeight="1" x14ac:dyDescent="0.25">
      <c r="A63" s="5" t="s">
        <v>31</v>
      </c>
      <c r="B63" s="6" t="str">
        <f>"Округ №6 (№ 6)"</f>
        <v>Округ №6 (№ 6)</v>
      </c>
      <c r="C63" s="6" t="str">
        <f>"Чиназбеков Бахром Хурсанободович"</f>
        <v>Чиназбеков Бахром Хурсанободович</v>
      </c>
      <c r="D63" s="7">
        <v>0.5</v>
      </c>
      <c r="E63" s="7"/>
      <c r="F63" s="6" t="str">
        <f>""</f>
        <v/>
      </c>
      <c r="G63" s="7"/>
      <c r="H63" s="8"/>
      <c r="I63" s="7">
        <v>0.5</v>
      </c>
      <c r="J63" s="9"/>
      <c r="K63" s="7"/>
      <c r="L63" s="6" t="str">
        <f>""</f>
        <v/>
      </c>
      <c r="M63" s="7"/>
      <c r="N63" s="6" t="str">
        <f>""</f>
        <v/>
      </c>
      <c r="O63" s="3"/>
    </row>
    <row r="64" spans="1:15" ht="30" customHeight="1" x14ac:dyDescent="0.25">
      <c r="A64" s="4" t="s">
        <v>6</v>
      </c>
      <c r="B64" s="10" t="str">
        <f>""</f>
        <v/>
      </c>
      <c r="C64" s="10" t="str">
        <f>"Итого по кандидату"</f>
        <v>Итого по кандидату</v>
      </c>
      <c r="D64" s="11">
        <v>0.5</v>
      </c>
      <c r="E64" s="11">
        <v>0</v>
      </c>
      <c r="F64" s="10" t="str">
        <f>""</f>
        <v/>
      </c>
      <c r="G64" s="11">
        <v>0</v>
      </c>
      <c r="H64" s="12"/>
      <c r="I64" s="11">
        <v>0.5</v>
      </c>
      <c r="J64" s="13"/>
      <c r="K64" s="11">
        <v>0</v>
      </c>
      <c r="L64" s="10" t="str">
        <f>""</f>
        <v/>
      </c>
      <c r="M64" s="11">
        <v>0</v>
      </c>
      <c r="N64" s="10" t="str">
        <f>""</f>
        <v/>
      </c>
      <c r="O64" s="3"/>
    </row>
    <row r="65" spans="1:15" ht="45" customHeight="1" x14ac:dyDescent="0.25">
      <c r="A65" s="5" t="s">
        <v>32</v>
      </c>
      <c r="B65" s="6" t="str">
        <f>"Округ №6 (№ 6)"</f>
        <v>Округ №6 (№ 6)</v>
      </c>
      <c r="C65" s="6" t="str">
        <f>"Чудов Александр Леонидович"</f>
        <v>Чудов Александр Леонидович</v>
      </c>
      <c r="D65" s="7">
        <v>75</v>
      </c>
      <c r="E65" s="7"/>
      <c r="F65" s="6" t="str">
        <f>""</f>
        <v/>
      </c>
      <c r="G65" s="7"/>
      <c r="H65" s="8"/>
      <c r="I65" s="7">
        <v>0</v>
      </c>
      <c r="J65" s="9"/>
      <c r="K65" s="7"/>
      <c r="L65" s="6" t="str">
        <f>""</f>
        <v/>
      </c>
      <c r="M65" s="7"/>
      <c r="N65" s="6" t="str">
        <f>""</f>
        <v/>
      </c>
      <c r="O65" s="3"/>
    </row>
    <row r="66" spans="1:15" ht="30" customHeight="1" x14ac:dyDescent="0.25">
      <c r="A66" s="4" t="s">
        <v>6</v>
      </c>
      <c r="B66" s="10" t="str">
        <f>""</f>
        <v/>
      </c>
      <c r="C66" s="10" t="str">
        <f>"Итого по кандидату"</f>
        <v>Итого по кандидату</v>
      </c>
      <c r="D66" s="11">
        <v>75</v>
      </c>
      <c r="E66" s="11">
        <v>0</v>
      </c>
      <c r="F66" s="10" t="str">
        <f>""</f>
        <v/>
      </c>
      <c r="G66" s="11">
        <v>0</v>
      </c>
      <c r="H66" s="12"/>
      <c r="I66" s="11">
        <v>0</v>
      </c>
      <c r="J66" s="13"/>
      <c r="K66" s="11">
        <v>0</v>
      </c>
      <c r="L66" s="10" t="str">
        <f>""</f>
        <v/>
      </c>
      <c r="M66" s="11">
        <v>0</v>
      </c>
      <c r="N66" s="10" t="str">
        <f>""</f>
        <v/>
      </c>
      <c r="O66" s="3"/>
    </row>
    <row r="67" spans="1:15" ht="45" customHeight="1" x14ac:dyDescent="0.25">
      <c r="A67" s="5" t="s">
        <v>33</v>
      </c>
      <c r="B67" s="6" t="str">
        <f>"Округ №6 (№ 6)"</f>
        <v>Округ №6 (№ 6)</v>
      </c>
      <c r="C67" s="6" t="str">
        <f>"Шишкина Ирина Борисовна"</f>
        <v>Шишкина Ирина Борисовна</v>
      </c>
      <c r="D67" s="7"/>
      <c r="E67" s="7"/>
      <c r="F67" s="6" t="str">
        <f>""</f>
        <v/>
      </c>
      <c r="G67" s="7"/>
      <c r="H67" s="8"/>
      <c r="I67" s="7"/>
      <c r="J67" s="9"/>
      <c r="K67" s="7"/>
      <c r="L67" s="6" t="str">
        <f>""</f>
        <v/>
      </c>
      <c r="M67" s="7"/>
      <c r="N67" s="6" t="str">
        <f>""</f>
        <v/>
      </c>
      <c r="O67" s="3"/>
    </row>
    <row r="68" spans="1:15" ht="30" customHeight="1" x14ac:dyDescent="0.25">
      <c r="A68" s="4" t="s">
        <v>6</v>
      </c>
      <c r="B68" s="10" t="str">
        <f>""</f>
        <v/>
      </c>
      <c r="C68" s="10" t="str">
        <f>"Итого по кандидату"</f>
        <v>Итого по кандидату</v>
      </c>
      <c r="D68" s="11">
        <v>0.4</v>
      </c>
      <c r="E68" s="11">
        <v>0</v>
      </c>
      <c r="F68" s="10" t="str">
        <f>""</f>
        <v/>
      </c>
      <c r="G68" s="11">
        <v>0</v>
      </c>
      <c r="H68" s="12"/>
      <c r="I68" s="11">
        <v>0.4</v>
      </c>
      <c r="J68" s="13"/>
      <c r="K68" s="11">
        <v>0</v>
      </c>
      <c r="L68" s="10" t="str">
        <f>""</f>
        <v/>
      </c>
      <c r="M68" s="11">
        <v>0</v>
      </c>
      <c r="N68" s="10" t="str">
        <f>""</f>
        <v/>
      </c>
      <c r="O68" s="3"/>
    </row>
    <row r="69" spans="1:15" ht="45" customHeight="1" x14ac:dyDescent="0.25">
      <c r="A69" s="5" t="s">
        <v>34</v>
      </c>
      <c r="B69" s="6" t="str">
        <f>"Округ №6 (№ 6)"</f>
        <v>Округ №6 (№ 6)</v>
      </c>
      <c r="C69" s="6" t="str">
        <f>"Шишкина Ирина Борисовна"</f>
        <v>Шишкина Ирина Борисовна</v>
      </c>
      <c r="D69" s="7"/>
      <c r="E69" s="7"/>
      <c r="F69" s="6" t="str">
        <f>""</f>
        <v/>
      </c>
      <c r="G69" s="7"/>
      <c r="H69" s="8"/>
      <c r="I69" s="7"/>
      <c r="J69" s="9"/>
      <c r="K69" s="7"/>
      <c r="L69" s="6" t="str">
        <f>""</f>
        <v/>
      </c>
      <c r="M69" s="7"/>
      <c r="N69" s="6" t="str">
        <f>""</f>
        <v/>
      </c>
      <c r="O69" s="3"/>
    </row>
    <row r="70" spans="1:15" ht="30" customHeight="1" x14ac:dyDescent="0.25">
      <c r="A70" s="4" t="s">
        <v>6</v>
      </c>
      <c r="B70" s="10" t="str">
        <f>""</f>
        <v/>
      </c>
      <c r="C70" s="10" t="str">
        <f>"Итого по кандидату"</f>
        <v>Итого по кандидату</v>
      </c>
      <c r="D70" s="11">
        <v>0.4</v>
      </c>
      <c r="E70" s="11">
        <v>0</v>
      </c>
      <c r="F70" s="10" t="str">
        <f>""</f>
        <v/>
      </c>
      <c r="G70" s="11">
        <v>0</v>
      </c>
      <c r="H70" s="12"/>
      <c r="I70" s="11">
        <v>0.4</v>
      </c>
      <c r="J70" s="13"/>
      <c r="K70" s="11">
        <v>0</v>
      </c>
      <c r="L70" s="10" t="str">
        <f>""</f>
        <v/>
      </c>
      <c r="M70" s="11">
        <v>0</v>
      </c>
      <c r="N70" s="10" t="str">
        <f>""</f>
        <v/>
      </c>
      <c r="O70" s="3"/>
    </row>
    <row r="71" spans="1:15" ht="75" customHeight="1" x14ac:dyDescent="0.25">
      <c r="A71" s="4" t="s">
        <v>6</v>
      </c>
      <c r="B71" s="10" t="str">
        <f>""</f>
        <v/>
      </c>
      <c r="C71" s="10" t="str">
        <f>"Избирательный округ (Округ №6 (№ 6)), всего"</f>
        <v>Избирательный округ (Округ №6 (№ 6)), всего</v>
      </c>
      <c r="D71" s="11">
        <v>982.3</v>
      </c>
      <c r="E71" s="11">
        <v>0</v>
      </c>
      <c r="F71" s="10" t="str">
        <f>""</f>
        <v/>
      </c>
      <c r="G71" s="11">
        <v>0</v>
      </c>
      <c r="H71" s="12"/>
      <c r="I71" s="11">
        <v>146.79</v>
      </c>
      <c r="J71" s="13"/>
      <c r="K71" s="11">
        <v>0</v>
      </c>
      <c r="L71" s="10" t="str">
        <f>""</f>
        <v/>
      </c>
      <c r="M71" s="11">
        <v>0</v>
      </c>
      <c r="N71" s="10" t="str">
        <f>""</f>
        <v/>
      </c>
      <c r="O71" s="3"/>
    </row>
    <row r="72" spans="1:15" ht="60" customHeight="1" x14ac:dyDescent="0.25">
      <c r="A72" s="5" t="s">
        <v>35</v>
      </c>
      <c r="B72" s="6" t="str">
        <f>"Округ №7 (№ 7)"</f>
        <v>Округ №7 (№ 7)</v>
      </c>
      <c r="C72" s="6" t="str">
        <f>"Березовский Максим Владимирович"</f>
        <v>Березовский Максим Владимирович</v>
      </c>
      <c r="D72" s="7">
        <v>1</v>
      </c>
      <c r="E72" s="7"/>
      <c r="F72" s="6" t="str">
        <f>""</f>
        <v/>
      </c>
      <c r="G72" s="7"/>
      <c r="H72" s="8"/>
      <c r="I72" s="7">
        <v>0.3</v>
      </c>
      <c r="J72" s="9"/>
      <c r="K72" s="7"/>
      <c r="L72" s="6" t="str">
        <f>""</f>
        <v/>
      </c>
      <c r="M72" s="7"/>
      <c r="N72" s="6" t="str">
        <f>""</f>
        <v/>
      </c>
      <c r="O72" s="3"/>
    </row>
    <row r="73" spans="1:15" ht="30" customHeight="1" x14ac:dyDescent="0.25">
      <c r="A73" s="4" t="s">
        <v>6</v>
      </c>
      <c r="B73" s="10" t="str">
        <f>""</f>
        <v/>
      </c>
      <c r="C73" s="10" t="str">
        <f>"Итого по кандидату"</f>
        <v>Итого по кандидату</v>
      </c>
      <c r="D73" s="11">
        <v>1</v>
      </c>
      <c r="E73" s="11">
        <v>0</v>
      </c>
      <c r="F73" s="10" t="str">
        <f>""</f>
        <v/>
      </c>
      <c r="G73" s="11">
        <v>0</v>
      </c>
      <c r="H73" s="12"/>
      <c r="I73" s="11">
        <v>0.3</v>
      </c>
      <c r="J73" s="13"/>
      <c r="K73" s="11">
        <v>0</v>
      </c>
      <c r="L73" s="10" t="str">
        <f>""</f>
        <v/>
      </c>
      <c r="M73" s="11">
        <v>0</v>
      </c>
      <c r="N73" s="10" t="str">
        <f>""</f>
        <v/>
      </c>
      <c r="O73" s="3"/>
    </row>
    <row r="74" spans="1:15" ht="45" customHeight="1" x14ac:dyDescent="0.25">
      <c r="A74" s="5" t="s">
        <v>36</v>
      </c>
      <c r="B74" s="6" t="str">
        <f>"Округ №7 (№ 7)"</f>
        <v>Округ №7 (№ 7)</v>
      </c>
      <c r="C74" s="6" t="str">
        <f>"Евсеенко Максим Николаевич"</f>
        <v>Евсеенко Максим Николаевич</v>
      </c>
      <c r="D74" s="7">
        <v>10</v>
      </c>
      <c r="E74" s="7"/>
      <c r="F74" s="6" t="str">
        <f>""</f>
        <v/>
      </c>
      <c r="G74" s="7"/>
      <c r="H74" s="8"/>
      <c r="I74" s="7">
        <v>0.62</v>
      </c>
      <c r="J74" s="9"/>
      <c r="K74" s="7"/>
      <c r="L74" s="6" t="str">
        <f>""</f>
        <v/>
      </c>
      <c r="M74" s="7"/>
      <c r="N74" s="6" t="str">
        <f>""</f>
        <v/>
      </c>
      <c r="O74" s="3"/>
    </row>
    <row r="75" spans="1:15" ht="30" customHeight="1" x14ac:dyDescent="0.25">
      <c r="A75" s="4" t="s">
        <v>6</v>
      </c>
      <c r="B75" s="10" t="str">
        <f>""</f>
        <v/>
      </c>
      <c r="C75" s="10" t="str">
        <f>"Итого по кандидату"</f>
        <v>Итого по кандидату</v>
      </c>
      <c r="D75" s="11">
        <v>10</v>
      </c>
      <c r="E75" s="11">
        <v>0</v>
      </c>
      <c r="F75" s="10" t="str">
        <f>""</f>
        <v/>
      </c>
      <c r="G75" s="11">
        <v>0</v>
      </c>
      <c r="H75" s="12"/>
      <c r="I75" s="11">
        <v>0.62</v>
      </c>
      <c r="J75" s="13"/>
      <c r="K75" s="11">
        <v>0</v>
      </c>
      <c r="L75" s="10" t="str">
        <f>""</f>
        <v/>
      </c>
      <c r="M75" s="11">
        <v>0</v>
      </c>
      <c r="N75" s="10" t="str">
        <f>""</f>
        <v/>
      </c>
      <c r="O75" s="3"/>
    </row>
    <row r="76" spans="1:15" ht="60" customHeight="1" x14ac:dyDescent="0.25">
      <c r="A76" s="5" t="s">
        <v>37</v>
      </c>
      <c r="B76" s="6" t="str">
        <f>"Округ №7 (№ 7)"</f>
        <v>Округ №7 (№ 7)</v>
      </c>
      <c r="C76" s="6" t="str">
        <f>"Захаревич Леонид Александрович"</f>
        <v>Захаревич Леонид Александрович</v>
      </c>
      <c r="D76" s="7">
        <v>104.04</v>
      </c>
      <c r="E76" s="7"/>
      <c r="F76" s="6" t="str">
        <f>""</f>
        <v/>
      </c>
      <c r="G76" s="7"/>
      <c r="H76" s="8"/>
      <c r="I76" s="7">
        <v>104.04</v>
      </c>
      <c r="J76" s="9"/>
      <c r="K76" s="7"/>
      <c r="L76" s="6" t="str">
        <f>""</f>
        <v/>
      </c>
      <c r="M76" s="7"/>
      <c r="N76" s="6" t="str">
        <f>""</f>
        <v/>
      </c>
      <c r="O76" s="3"/>
    </row>
    <row r="77" spans="1:15" ht="30" customHeight="1" x14ac:dyDescent="0.25">
      <c r="A77" s="4" t="s">
        <v>6</v>
      </c>
      <c r="B77" s="10" t="str">
        <f>""</f>
        <v/>
      </c>
      <c r="C77" s="10" t="str">
        <f>"Итого по кандидату"</f>
        <v>Итого по кандидату</v>
      </c>
      <c r="D77" s="11">
        <v>104.04</v>
      </c>
      <c r="E77" s="11">
        <v>0</v>
      </c>
      <c r="F77" s="10" t="str">
        <f>""</f>
        <v/>
      </c>
      <c r="G77" s="11">
        <v>0</v>
      </c>
      <c r="H77" s="12"/>
      <c r="I77" s="11">
        <v>104.04</v>
      </c>
      <c r="J77" s="13"/>
      <c r="K77" s="11">
        <v>0</v>
      </c>
      <c r="L77" s="10" t="str">
        <f>""</f>
        <v/>
      </c>
      <c r="M77" s="11">
        <v>0</v>
      </c>
      <c r="N77" s="10" t="str">
        <f>""</f>
        <v/>
      </c>
      <c r="O77" s="3"/>
    </row>
    <row r="78" spans="1:15" ht="45" customHeight="1" x14ac:dyDescent="0.25">
      <c r="A78" s="5" t="s">
        <v>38</v>
      </c>
      <c r="B78" s="6" t="str">
        <f>"Округ №7 (№ 7)"</f>
        <v>Округ №7 (№ 7)</v>
      </c>
      <c r="C78" s="6" t="str">
        <f>"Налетов Андрей Викторович"</f>
        <v>Налетов Андрей Викторович</v>
      </c>
      <c r="D78" s="7"/>
      <c r="E78" s="7"/>
      <c r="F78" s="6" t="str">
        <f>""</f>
        <v/>
      </c>
      <c r="G78" s="7"/>
      <c r="H78" s="8"/>
      <c r="I78" s="7"/>
      <c r="J78" s="9"/>
      <c r="K78" s="7"/>
      <c r="L78" s="6" t="str">
        <f>""</f>
        <v/>
      </c>
      <c r="M78" s="7"/>
      <c r="N78" s="6" t="str">
        <f>""</f>
        <v/>
      </c>
      <c r="O78" s="3"/>
    </row>
    <row r="79" spans="1:15" ht="30" customHeight="1" x14ac:dyDescent="0.25">
      <c r="A79" s="4" t="s">
        <v>6</v>
      </c>
      <c r="B79" s="10" t="str">
        <f>""</f>
        <v/>
      </c>
      <c r="C79" s="10" t="str">
        <f>"Итого по кандидату"</f>
        <v>Итого по кандидату</v>
      </c>
      <c r="D79" s="11">
        <v>1</v>
      </c>
      <c r="E79" s="11">
        <v>0</v>
      </c>
      <c r="F79" s="10" t="str">
        <f>""</f>
        <v/>
      </c>
      <c r="G79" s="11">
        <v>0</v>
      </c>
      <c r="H79" s="12"/>
      <c r="I79" s="11">
        <v>0.5</v>
      </c>
      <c r="J79" s="13"/>
      <c r="K79" s="11">
        <v>0</v>
      </c>
      <c r="L79" s="10" t="str">
        <f>""</f>
        <v/>
      </c>
      <c r="M79" s="11">
        <v>0</v>
      </c>
      <c r="N79" s="10" t="str">
        <f>""</f>
        <v/>
      </c>
      <c r="O79" s="3"/>
    </row>
    <row r="80" spans="1:15" ht="45" customHeight="1" x14ac:dyDescent="0.25">
      <c r="A80" s="5" t="s">
        <v>39</v>
      </c>
      <c r="B80" s="6" t="str">
        <f>"Округ №7 (№ 7)"</f>
        <v>Округ №7 (№ 7)</v>
      </c>
      <c r="C80" s="6" t="str">
        <f>"Налетов Андрей Викторович"</f>
        <v>Налетов Андрей Викторович</v>
      </c>
      <c r="D80" s="7"/>
      <c r="E80" s="7"/>
      <c r="F80" s="6" t="str">
        <f>""</f>
        <v/>
      </c>
      <c r="G80" s="7"/>
      <c r="H80" s="8"/>
      <c r="I80" s="7"/>
      <c r="J80" s="9"/>
      <c r="K80" s="7"/>
      <c r="L80" s="6" t="str">
        <f>""</f>
        <v/>
      </c>
      <c r="M80" s="7"/>
      <c r="N80" s="6" t="str">
        <f>""</f>
        <v/>
      </c>
      <c r="O80" s="3"/>
    </row>
    <row r="81" spans="1:15" ht="30" customHeight="1" x14ac:dyDescent="0.25">
      <c r="A81" s="4" t="s">
        <v>6</v>
      </c>
      <c r="B81" s="10" t="str">
        <f>""</f>
        <v/>
      </c>
      <c r="C81" s="10" t="str">
        <f>"Итого по кандидату"</f>
        <v>Итого по кандидату</v>
      </c>
      <c r="D81" s="11">
        <v>0.5</v>
      </c>
      <c r="E81" s="11">
        <v>0</v>
      </c>
      <c r="F81" s="10" t="str">
        <f>""</f>
        <v/>
      </c>
      <c r="G81" s="11">
        <v>0</v>
      </c>
      <c r="H81" s="12"/>
      <c r="I81" s="11">
        <v>0.5</v>
      </c>
      <c r="J81" s="13"/>
      <c r="K81" s="11">
        <v>0</v>
      </c>
      <c r="L81" s="10" t="str">
        <f>""</f>
        <v/>
      </c>
      <c r="M81" s="11">
        <v>0</v>
      </c>
      <c r="N81" s="10" t="str">
        <f>""</f>
        <v/>
      </c>
      <c r="O81" s="3"/>
    </row>
    <row r="82" spans="1:15" ht="45" customHeight="1" x14ac:dyDescent="0.25">
      <c r="A82" s="5" t="s">
        <v>40</v>
      </c>
      <c r="B82" s="6" t="str">
        <f>"Округ №7 (№ 7)"</f>
        <v>Округ №7 (№ 7)</v>
      </c>
      <c r="C82" s="6" t="str">
        <f>"Ушаков Дмитрий Сергеевич"</f>
        <v>Ушаков Дмитрий Сергеевич</v>
      </c>
      <c r="D82" s="7">
        <v>25</v>
      </c>
      <c r="E82" s="7"/>
      <c r="F82" s="6" t="str">
        <f>""</f>
        <v/>
      </c>
      <c r="G82" s="7"/>
      <c r="H82" s="8"/>
      <c r="I82" s="7">
        <v>23.4</v>
      </c>
      <c r="J82" s="9"/>
      <c r="K82" s="7"/>
      <c r="L82" s="6" t="str">
        <f>""</f>
        <v/>
      </c>
      <c r="M82" s="7"/>
      <c r="N82" s="6" t="str">
        <f>""</f>
        <v/>
      </c>
      <c r="O82" s="3"/>
    </row>
    <row r="83" spans="1:15" ht="30" customHeight="1" x14ac:dyDescent="0.25">
      <c r="A83" s="4" t="s">
        <v>6</v>
      </c>
      <c r="B83" s="10" t="str">
        <f>""</f>
        <v/>
      </c>
      <c r="C83" s="10" t="str">
        <f>"Итого по кандидату"</f>
        <v>Итого по кандидату</v>
      </c>
      <c r="D83" s="11">
        <v>25</v>
      </c>
      <c r="E83" s="11">
        <v>0</v>
      </c>
      <c r="F83" s="10" t="str">
        <f>""</f>
        <v/>
      </c>
      <c r="G83" s="11">
        <v>0</v>
      </c>
      <c r="H83" s="12"/>
      <c r="I83" s="11">
        <v>23.4</v>
      </c>
      <c r="J83" s="13"/>
      <c r="K83" s="11">
        <v>0</v>
      </c>
      <c r="L83" s="10" t="str">
        <f>""</f>
        <v/>
      </c>
      <c r="M83" s="11">
        <v>0</v>
      </c>
      <c r="N83" s="10" t="str">
        <f>""</f>
        <v/>
      </c>
      <c r="O83" s="3"/>
    </row>
    <row r="84" spans="1:15" ht="75" customHeight="1" x14ac:dyDescent="0.25">
      <c r="A84" s="4" t="s">
        <v>6</v>
      </c>
      <c r="B84" s="10" t="str">
        <f>""</f>
        <v/>
      </c>
      <c r="C84" s="10" t="str">
        <f>"Избирательный округ (Округ №7 (№ 7)), всего"</f>
        <v>Избирательный округ (Округ №7 (№ 7)), всего</v>
      </c>
      <c r="D84" s="11">
        <v>141.54</v>
      </c>
      <c r="E84" s="11">
        <v>0</v>
      </c>
      <c r="F84" s="10" t="str">
        <f>""</f>
        <v/>
      </c>
      <c r="G84" s="11">
        <v>0</v>
      </c>
      <c r="H84" s="12"/>
      <c r="I84" s="11">
        <v>129.36000000000001</v>
      </c>
      <c r="J84" s="13"/>
      <c r="K84" s="11">
        <v>0</v>
      </c>
      <c r="L84" s="10" t="str">
        <f>""</f>
        <v/>
      </c>
      <c r="M84" s="11">
        <v>0</v>
      </c>
      <c r="N84" s="10" t="str">
        <f>""</f>
        <v/>
      </c>
      <c r="O84" s="3"/>
    </row>
    <row r="85" spans="1:15" ht="45" customHeight="1" x14ac:dyDescent="0.25">
      <c r="A85" s="5" t="s">
        <v>41</v>
      </c>
      <c r="B85" s="6" t="str">
        <f>"Округ №8 (№ 8)"</f>
        <v>Округ №8 (№ 8)</v>
      </c>
      <c r="C85" s="6" t="str">
        <f>"Воронков Кирилл Игоревич"</f>
        <v>Воронков Кирилл Игоревич</v>
      </c>
      <c r="D85" s="7">
        <v>146.38999999999999</v>
      </c>
      <c r="E85" s="7"/>
      <c r="F85" s="6" t="str">
        <f>""</f>
        <v/>
      </c>
      <c r="G85" s="7"/>
      <c r="H85" s="8"/>
      <c r="I85" s="7">
        <v>146.38999999999999</v>
      </c>
      <c r="J85" s="9"/>
      <c r="K85" s="7"/>
      <c r="L85" s="6" t="str">
        <f>""</f>
        <v/>
      </c>
      <c r="M85" s="7"/>
      <c r="N85" s="6" t="str">
        <f>""</f>
        <v/>
      </c>
      <c r="O85" s="3"/>
    </row>
    <row r="86" spans="1:15" ht="30" customHeight="1" x14ac:dyDescent="0.25">
      <c r="A86" s="4" t="s">
        <v>6</v>
      </c>
      <c r="B86" s="10" t="str">
        <f>""</f>
        <v/>
      </c>
      <c r="C86" s="10" t="str">
        <f>"Итого по кандидату"</f>
        <v>Итого по кандидату</v>
      </c>
      <c r="D86" s="11">
        <v>146.38999999999999</v>
      </c>
      <c r="E86" s="11">
        <v>0</v>
      </c>
      <c r="F86" s="10" t="str">
        <f>""</f>
        <v/>
      </c>
      <c r="G86" s="11">
        <v>0</v>
      </c>
      <c r="H86" s="12"/>
      <c r="I86" s="11">
        <v>146.38999999999999</v>
      </c>
      <c r="J86" s="13"/>
      <c r="K86" s="11">
        <v>0</v>
      </c>
      <c r="L86" s="10" t="str">
        <f>""</f>
        <v/>
      </c>
      <c r="M86" s="11">
        <v>0</v>
      </c>
      <c r="N86" s="10" t="str">
        <f>""</f>
        <v/>
      </c>
      <c r="O86" s="3"/>
    </row>
    <row r="87" spans="1:15" ht="45" customHeight="1" x14ac:dyDescent="0.25">
      <c r="A87" s="5" t="s">
        <v>42</v>
      </c>
      <c r="B87" s="6" t="str">
        <f>"Округ №8 (№ 8)"</f>
        <v>Округ №8 (№ 8)</v>
      </c>
      <c r="C87" s="6" t="str">
        <f>"Егерев Антон Михайлович"</f>
        <v>Егерев Антон Михайлович</v>
      </c>
      <c r="D87" s="7">
        <v>24.1</v>
      </c>
      <c r="E87" s="7"/>
      <c r="F87" s="6" t="str">
        <f>""</f>
        <v/>
      </c>
      <c r="G87" s="7"/>
      <c r="H87" s="8"/>
      <c r="I87" s="7">
        <v>23.86</v>
      </c>
      <c r="J87" s="9"/>
      <c r="K87" s="7"/>
      <c r="L87" s="6" t="str">
        <f>""</f>
        <v/>
      </c>
      <c r="M87" s="7"/>
      <c r="N87" s="6" t="str">
        <f>""</f>
        <v/>
      </c>
      <c r="O87" s="3"/>
    </row>
    <row r="88" spans="1:15" ht="30" customHeight="1" x14ac:dyDescent="0.25">
      <c r="A88" s="4" t="s">
        <v>6</v>
      </c>
      <c r="B88" s="10" t="str">
        <f>""</f>
        <v/>
      </c>
      <c r="C88" s="10" t="str">
        <f>"Итого по кандидату"</f>
        <v>Итого по кандидату</v>
      </c>
      <c r="D88" s="11">
        <v>24.1</v>
      </c>
      <c r="E88" s="11">
        <v>0</v>
      </c>
      <c r="F88" s="10" t="str">
        <f>""</f>
        <v/>
      </c>
      <c r="G88" s="11">
        <v>0</v>
      </c>
      <c r="H88" s="12"/>
      <c r="I88" s="11">
        <v>23.86</v>
      </c>
      <c r="J88" s="13"/>
      <c r="K88" s="11">
        <v>0</v>
      </c>
      <c r="L88" s="10" t="str">
        <f>""</f>
        <v/>
      </c>
      <c r="M88" s="11">
        <v>0</v>
      </c>
      <c r="N88" s="10" t="str">
        <f>""</f>
        <v/>
      </c>
      <c r="O88" s="3"/>
    </row>
    <row r="89" spans="1:15" ht="45" customHeight="1" x14ac:dyDescent="0.25">
      <c r="A89" s="5" t="s">
        <v>43</v>
      </c>
      <c r="B89" s="6" t="str">
        <f>"Округ №8 (№ 8)"</f>
        <v>Округ №8 (№ 8)</v>
      </c>
      <c r="C89" s="6" t="str">
        <f>"Иванов Павел Николаевич"</f>
        <v>Иванов Павел Николаевич</v>
      </c>
      <c r="D89" s="7">
        <v>0.5</v>
      </c>
      <c r="E89" s="7"/>
      <c r="F89" s="6" t="str">
        <f>""</f>
        <v/>
      </c>
      <c r="G89" s="7"/>
      <c r="H89" s="8"/>
      <c r="I89" s="7">
        <v>0.5</v>
      </c>
      <c r="J89" s="9"/>
      <c r="K89" s="7"/>
      <c r="L89" s="6" t="str">
        <f>""</f>
        <v/>
      </c>
      <c r="M89" s="7"/>
      <c r="N89" s="6" t="str">
        <f>""</f>
        <v/>
      </c>
      <c r="O89" s="3"/>
    </row>
    <row r="90" spans="1:15" ht="30" customHeight="1" x14ac:dyDescent="0.25">
      <c r="A90" s="4" t="s">
        <v>6</v>
      </c>
      <c r="B90" s="10" t="str">
        <f>""</f>
        <v/>
      </c>
      <c r="C90" s="10" t="str">
        <f>"Итого по кандидату"</f>
        <v>Итого по кандидату</v>
      </c>
      <c r="D90" s="11">
        <v>0.5</v>
      </c>
      <c r="E90" s="11">
        <v>0</v>
      </c>
      <c r="F90" s="10" t="str">
        <f>""</f>
        <v/>
      </c>
      <c r="G90" s="11">
        <v>0</v>
      </c>
      <c r="H90" s="12"/>
      <c r="I90" s="11">
        <v>0.5</v>
      </c>
      <c r="J90" s="13"/>
      <c r="K90" s="11">
        <v>0</v>
      </c>
      <c r="L90" s="10" t="str">
        <f>""</f>
        <v/>
      </c>
      <c r="M90" s="11">
        <v>0</v>
      </c>
      <c r="N90" s="10" t="str">
        <f>""</f>
        <v/>
      </c>
      <c r="O90" s="3"/>
    </row>
    <row r="91" spans="1:15" ht="45" customHeight="1" x14ac:dyDescent="0.25">
      <c r="A91" s="5" t="s">
        <v>44</v>
      </c>
      <c r="B91" s="6" t="str">
        <f>"Округ №8 (№ 8)"</f>
        <v>Округ №8 (№ 8)</v>
      </c>
      <c r="C91" s="6" t="str">
        <f>"Ковешников Сергей Николаевич"</f>
        <v>Ковешников Сергей Николаевич</v>
      </c>
      <c r="D91" s="7">
        <v>5</v>
      </c>
      <c r="E91" s="7"/>
      <c r="F91" s="6" t="str">
        <f>""</f>
        <v/>
      </c>
      <c r="G91" s="7"/>
      <c r="H91" s="8"/>
      <c r="I91" s="7">
        <v>0.4</v>
      </c>
      <c r="J91" s="9"/>
      <c r="K91" s="7"/>
      <c r="L91" s="6" t="str">
        <f>""</f>
        <v/>
      </c>
      <c r="M91" s="7"/>
      <c r="N91" s="6" t="str">
        <f>""</f>
        <v/>
      </c>
      <c r="O91" s="3"/>
    </row>
    <row r="92" spans="1:15" ht="30" customHeight="1" x14ac:dyDescent="0.25">
      <c r="A92" s="4" t="s">
        <v>6</v>
      </c>
      <c r="B92" s="10" t="str">
        <f>""</f>
        <v/>
      </c>
      <c r="C92" s="10" t="str">
        <f>"Итого по кандидату"</f>
        <v>Итого по кандидату</v>
      </c>
      <c r="D92" s="11">
        <v>5</v>
      </c>
      <c r="E92" s="11">
        <v>0</v>
      </c>
      <c r="F92" s="10" t="str">
        <f>""</f>
        <v/>
      </c>
      <c r="G92" s="11">
        <v>0</v>
      </c>
      <c r="H92" s="12"/>
      <c r="I92" s="11">
        <v>0.4</v>
      </c>
      <c r="J92" s="13"/>
      <c r="K92" s="11">
        <v>0</v>
      </c>
      <c r="L92" s="10" t="str">
        <f>""</f>
        <v/>
      </c>
      <c r="M92" s="11">
        <v>0</v>
      </c>
      <c r="N92" s="10" t="str">
        <f>""</f>
        <v/>
      </c>
      <c r="O92" s="3"/>
    </row>
    <row r="93" spans="1:15" ht="45" customHeight="1" x14ac:dyDescent="0.25">
      <c r="A93" s="5" t="s">
        <v>45</v>
      </c>
      <c r="B93" s="6" t="str">
        <f>"Округ №8 (№ 8)"</f>
        <v>Округ №8 (№ 8)</v>
      </c>
      <c r="C93" s="6" t="str">
        <f>"Шатский Иван Андреевич"</f>
        <v>Шатский Иван Андреевич</v>
      </c>
      <c r="D93" s="7">
        <v>0.5</v>
      </c>
      <c r="E93" s="7"/>
      <c r="F93" s="6" t="str">
        <f>""</f>
        <v/>
      </c>
      <c r="G93" s="7"/>
      <c r="H93" s="8"/>
      <c r="I93" s="7">
        <v>0.5</v>
      </c>
      <c r="J93" s="9"/>
      <c r="K93" s="7"/>
      <c r="L93" s="6" t="str">
        <f>""</f>
        <v/>
      </c>
      <c r="M93" s="7"/>
      <c r="N93" s="6" t="str">
        <f>""</f>
        <v/>
      </c>
      <c r="O93" s="3"/>
    </row>
    <row r="94" spans="1:15" ht="30" customHeight="1" x14ac:dyDescent="0.25">
      <c r="A94" s="4" t="s">
        <v>6</v>
      </c>
      <c r="B94" s="10" t="str">
        <f>""</f>
        <v/>
      </c>
      <c r="C94" s="10" t="str">
        <f>"Итого по кандидату"</f>
        <v>Итого по кандидату</v>
      </c>
      <c r="D94" s="11">
        <v>0.5</v>
      </c>
      <c r="E94" s="11">
        <v>0</v>
      </c>
      <c r="F94" s="10" t="str">
        <f>""</f>
        <v/>
      </c>
      <c r="G94" s="11">
        <v>0</v>
      </c>
      <c r="H94" s="12"/>
      <c r="I94" s="11">
        <v>0.5</v>
      </c>
      <c r="J94" s="13"/>
      <c r="K94" s="11">
        <v>0</v>
      </c>
      <c r="L94" s="10" t="str">
        <f>""</f>
        <v/>
      </c>
      <c r="M94" s="11">
        <v>0</v>
      </c>
      <c r="N94" s="10" t="str">
        <f>""</f>
        <v/>
      </c>
      <c r="O94" s="3"/>
    </row>
    <row r="95" spans="1:15" ht="75" customHeight="1" x14ac:dyDescent="0.25">
      <c r="A95" s="4" t="s">
        <v>6</v>
      </c>
      <c r="B95" s="10" t="str">
        <f>""</f>
        <v/>
      </c>
      <c r="C95" s="10" t="str">
        <f>"Избирательный округ (Округ №8 (№ 8)), всего"</f>
        <v>Избирательный округ (Округ №8 (№ 8)), всего</v>
      </c>
      <c r="D95" s="11">
        <v>176.49</v>
      </c>
      <c r="E95" s="11">
        <v>0</v>
      </c>
      <c r="F95" s="10" t="str">
        <f>""</f>
        <v/>
      </c>
      <c r="G95" s="11">
        <v>0</v>
      </c>
      <c r="H95" s="12"/>
      <c r="I95" s="11">
        <v>171.65</v>
      </c>
      <c r="J95" s="13"/>
      <c r="K95" s="11">
        <v>0</v>
      </c>
      <c r="L95" s="10" t="str">
        <f>""</f>
        <v/>
      </c>
      <c r="M95" s="11">
        <v>0</v>
      </c>
      <c r="N95" s="10" t="str">
        <f>""</f>
        <v/>
      </c>
      <c r="O95" s="3"/>
    </row>
    <row r="96" spans="1:15" ht="45" customHeight="1" x14ac:dyDescent="0.25">
      <c r="A96" s="5" t="s">
        <v>46</v>
      </c>
      <c r="B96" s="6" t="str">
        <f>"Округ №9 (№ 9)"</f>
        <v>Округ №9 (№ 9)</v>
      </c>
      <c r="C96" s="6" t="str">
        <f>"Макаревич Татьяна Сергеевна"</f>
        <v>Макаревич Татьяна Сергеевна</v>
      </c>
      <c r="D96" s="7">
        <v>0.2</v>
      </c>
      <c r="E96" s="7"/>
      <c r="F96" s="6" t="str">
        <f>""</f>
        <v/>
      </c>
      <c r="G96" s="7"/>
      <c r="H96" s="8"/>
      <c r="I96" s="7">
        <v>0.2</v>
      </c>
      <c r="J96" s="9"/>
      <c r="K96" s="7"/>
      <c r="L96" s="6" t="str">
        <f>""</f>
        <v/>
      </c>
      <c r="M96" s="7"/>
      <c r="N96" s="6" t="str">
        <f>""</f>
        <v/>
      </c>
      <c r="O96" s="3"/>
    </row>
    <row r="97" spans="1:15" ht="30" customHeight="1" x14ac:dyDescent="0.25">
      <c r="A97" s="4" t="s">
        <v>6</v>
      </c>
      <c r="B97" s="10" t="str">
        <f>""</f>
        <v/>
      </c>
      <c r="C97" s="10" t="str">
        <f>"Итого по кандидату"</f>
        <v>Итого по кандидату</v>
      </c>
      <c r="D97" s="11">
        <v>0.2</v>
      </c>
      <c r="E97" s="11">
        <v>0</v>
      </c>
      <c r="F97" s="10" t="str">
        <f>""</f>
        <v/>
      </c>
      <c r="G97" s="11">
        <v>0</v>
      </c>
      <c r="H97" s="12"/>
      <c r="I97" s="11">
        <v>0.2</v>
      </c>
      <c r="J97" s="13"/>
      <c r="K97" s="11">
        <v>0</v>
      </c>
      <c r="L97" s="10" t="str">
        <f>""</f>
        <v/>
      </c>
      <c r="M97" s="11">
        <v>0</v>
      </c>
      <c r="N97" s="10" t="str">
        <f>""</f>
        <v/>
      </c>
      <c r="O97" s="3"/>
    </row>
    <row r="98" spans="1:15" ht="60" customHeight="1" x14ac:dyDescent="0.25">
      <c r="A98" s="5" t="s">
        <v>47</v>
      </c>
      <c r="B98" s="6" t="str">
        <f>"Округ №9 (№ 9)"</f>
        <v>Округ №9 (№ 9)</v>
      </c>
      <c r="C98" s="6" t="str">
        <f>"Черняева Алина Александровна"</f>
        <v>Черняева Алина Александровна</v>
      </c>
      <c r="D98" s="7">
        <v>63.2</v>
      </c>
      <c r="E98" s="7"/>
      <c r="F98" s="6" t="str">
        <f>""</f>
        <v/>
      </c>
      <c r="G98" s="7"/>
      <c r="H98" s="8"/>
      <c r="I98" s="7">
        <v>32.200000000000003</v>
      </c>
      <c r="J98" s="9"/>
      <c r="K98" s="7"/>
      <c r="L98" s="6" t="str">
        <f>""</f>
        <v/>
      </c>
      <c r="M98" s="7"/>
      <c r="N98" s="6" t="str">
        <f>""</f>
        <v/>
      </c>
      <c r="O98" s="3"/>
    </row>
    <row r="99" spans="1:15" ht="30" customHeight="1" x14ac:dyDescent="0.25">
      <c r="A99" s="4" t="s">
        <v>6</v>
      </c>
      <c r="B99" s="10" t="str">
        <f>""</f>
        <v/>
      </c>
      <c r="C99" s="10" t="str">
        <f>"Итого по кандидату"</f>
        <v>Итого по кандидату</v>
      </c>
      <c r="D99" s="11">
        <v>63.2</v>
      </c>
      <c r="E99" s="11">
        <v>0</v>
      </c>
      <c r="F99" s="10" t="str">
        <f>""</f>
        <v/>
      </c>
      <c r="G99" s="11">
        <v>0</v>
      </c>
      <c r="H99" s="12"/>
      <c r="I99" s="11">
        <v>32.200000000000003</v>
      </c>
      <c r="J99" s="13"/>
      <c r="K99" s="11">
        <v>0</v>
      </c>
      <c r="L99" s="10" t="str">
        <f>""</f>
        <v/>
      </c>
      <c r="M99" s="11">
        <v>0</v>
      </c>
      <c r="N99" s="10" t="str">
        <f>""</f>
        <v/>
      </c>
      <c r="O99" s="3"/>
    </row>
    <row r="100" spans="1:15" ht="45" customHeight="1" x14ac:dyDescent="0.25">
      <c r="A100" s="5" t="s">
        <v>48</v>
      </c>
      <c r="B100" s="6" t="str">
        <f>"Округ №9 (№ 9)"</f>
        <v>Округ №9 (№ 9)</v>
      </c>
      <c r="C100" s="6" t="str">
        <f>"Ясько Федор Михайлович"</f>
        <v>Ясько Федор Михайлович</v>
      </c>
      <c r="D100" s="7">
        <v>300</v>
      </c>
      <c r="E100" s="7"/>
      <c r="F100" s="6" t="str">
        <f>""</f>
        <v/>
      </c>
      <c r="G100" s="7"/>
      <c r="H100" s="8"/>
      <c r="I100" s="7">
        <v>17.61</v>
      </c>
      <c r="J100" s="9"/>
      <c r="K100" s="7"/>
      <c r="L100" s="6" t="str">
        <f>""</f>
        <v/>
      </c>
      <c r="M100" s="7"/>
      <c r="N100" s="6" t="str">
        <f>""</f>
        <v/>
      </c>
      <c r="O100" s="3"/>
    </row>
    <row r="101" spans="1:15" ht="30" customHeight="1" x14ac:dyDescent="0.25">
      <c r="A101" s="4" t="s">
        <v>6</v>
      </c>
      <c r="B101" s="10" t="str">
        <f>""</f>
        <v/>
      </c>
      <c r="C101" s="10" t="str">
        <f>"Итого по кандидату"</f>
        <v>Итого по кандидату</v>
      </c>
      <c r="D101" s="11">
        <v>300</v>
      </c>
      <c r="E101" s="11">
        <v>0</v>
      </c>
      <c r="F101" s="10" t="str">
        <f>""</f>
        <v/>
      </c>
      <c r="G101" s="11">
        <v>0</v>
      </c>
      <c r="H101" s="12"/>
      <c r="I101" s="11">
        <v>17.61</v>
      </c>
      <c r="J101" s="13"/>
      <c r="K101" s="11">
        <v>0</v>
      </c>
      <c r="L101" s="10" t="str">
        <f>""</f>
        <v/>
      </c>
      <c r="M101" s="11">
        <v>0</v>
      </c>
      <c r="N101" s="10" t="str">
        <f>""</f>
        <v/>
      </c>
      <c r="O101" s="3"/>
    </row>
    <row r="102" spans="1:15" ht="75" customHeight="1" x14ac:dyDescent="0.25">
      <c r="A102" s="4" t="s">
        <v>6</v>
      </c>
      <c r="B102" s="10" t="str">
        <f>""</f>
        <v/>
      </c>
      <c r="C102" s="10" t="str">
        <f>"Избирательный округ (Округ №9 (№ 9)), всего"</f>
        <v>Избирательный округ (Округ №9 (№ 9)), всего</v>
      </c>
      <c r="D102" s="11">
        <v>363.4</v>
      </c>
      <c r="E102" s="11">
        <v>0</v>
      </c>
      <c r="F102" s="10" t="str">
        <f>""</f>
        <v/>
      </c>
      <c r="G102" s="11">
        <v>0</v>
      </c>
      <c r="H102" s="12"/>
      <c r="I102" s="11">
        <v>50.01</v>
      </c>
      <c r="J102" s="13"/>
      <c r="K102" s="11">
        <v>0</v>
      </c>
      <c r="L102" s="10" t="str">
        <f>""</f>
        <v/>
      </c>
      <c r="M102" s="11">
        <v>0</v>
      </c>
      <c r="N102" s="10" t="str">
        <f>""</f>
        <v/>
      </c>
      <c r="O102" s="3"/>
    </row>
    <row r="103" spans="1:15" ht="60" customHeight="1" x14ac:dyDescent="0.25">
      <c r="A103" s="5" t="s">
        <v>49</v>
      </c>
      <c r="B103" s="6" t="str">
        <f>"Округ №10 (№ 10)"</f>
        <v>Округ №10 (№ 10)</v>
      </c>
      <c r="C103" s="6" t="str">
        <f>"Балабанов Иван Александрович"</f>
        <v>Балабанов Иван Александрович</v>
      </c>
      <c r="D103" s="7">
        <v>75</v>
      </c>
      <c r="E103" s="7"/>
      <c r="F103" s="6" t="str">
        <f>""</f>
        <v/>
      </c>
      <c r="G103" s="7"/>
      <c r="H103" s="8"/>
      <c r="I103" s="7">
        <v>12.56</v>
      </c>
      <c r="J103" s="9"/>
      <c r="K103" s="7"/>
      <c r="L103" s="6" t="str">
        <f>""</f>
        <v/>
      </c>
      <c r="M103" s="7"/>
      <c r="N103" s="6" t="str">
        <f>""</f>
        <v/>
      </c>
      <c r="O103" s="3"/>
    </row>
    <row r="104" spans="1:15" ht="30" customHeight="1" x14ac:dyDescent="0.25">
      <c r="A104" s="4" t="s">
        <v>6</v>
      </c>
      <c r="B104" s="10" t="str">
        <f>""</f>
        <v/>
      </c>
      <c r="C104" s="10" t="str">
        <f>"Итого по кандидату"</f>
        <v>Итого по кандидату</v>
      </c>
      <c r="D104" s="11">
        <v>75</v>
      </c>
      <c r="E104" s="11">
        <v>0</v>
      </c>
      <c r="F104" s="10" t="str">
        <f>""</f>
        <v/>
      </c>
      <c r="G104" s="11">
        <v>0</v>
      </c>
      <c r="H104" s="12"/>
      <c r="I104" s="11">
        <v>12.56</v>
      </c>
      <c r="J104" s="13"/>
      <c r="K104" s="11">
        <v>0</v>
      </c>
      <c r="L104" s="10" t="str">
        <f>""</f>
        <v/>
      </c>
      <c r="M104" s="11">
        <v>0</v>
      </c>
      <c r="N104" s="10" t="str">
        <f>""</f>
        <v/>
      </c>
      <c r="O104" s="3"/>
    </row>
    <row r="105" spans="1:15" ht="60" customHeight="1" x14ac:dyDescent="0.25">
      <c r="A105" s="5" t="s">
        <v>50</v>
      </c>
      <c r="B105" s="6" t="str">
        <f>"Округ №10 (№ 10)"</f>
        <v>Округ №10 (№ 10)</v>
      </c>
      <c r="C105" s="6" t="str">
        <f>"Голышев Роман Валентинович"</f>
        <v>Голышев Роман Валентинович</v>
      </c>
      <c r="D105" s="7">
        <v>75</v>
      </c>
      <c r="E105" s="7"/>
      <c r="F105" s="6" t="str">
        <f>""</f>
        <v/>
      </c>
      <c r="G105" s="7"/>
      <c r="H105" s="8"/>
      <c r="I105" s="7">
        <v>0</v>
      </c>
      <c r="J105" s="9"/>
      <c r="K105" s="7"/>
      <c r="L105" s="6" t="str">
        <f>""</f>
        <v/>
      </c>
      <c r="M105" s="7"/>
      <c r="N105" s="6" t="str">
        <f>""</f>
        <v/>
      </c>
      <c r="O105" s="3"/>
    </row>
    <row r="106" spans="1:15" ht="30" customHeight="1" x14ac:dyDescent="0.25">
      <c r="A106" s="4" t="s">
        <v>6</v>
      </c>
      <c r="B106" s="10" t="str">
        <f>""</f>
        <v/>
      </c>
      <c r="C106" s="10" t="str">
        <f>"Итого по кандидату"</f>
        <v>Итого по кандидату</v>
      </c>
      <c r="D106" s="11">
        <v>75</v>
      </c>
      <c r="E106" s="11">
        <v>0</v>
      </c>
      <c r="F106" s="10" t="str">
        <f>""</f>
        <v/>
      </c>
      <c r="G106" s="11">
        <v>0</v>
      </c>
      <c r="H106" s="12"/>
      <c r="I106" s="11">
        <v>0</v>
      </c>
      <c r="J106" s="13"/>
      <c r="K106" s="11">
        <v>0</v>
      </c>
      <c r="L106" s="10" t="str">
        <f>""</f>
        <v/>
      </c>
      <c r="M106" s="11">
        <v>0</v>
      </c>
      <c r="N106" s="10" t="str">
        <f>""</f>
        <v/>
      </c>
      <c r="O106" s="3"/>
    </row>
    <row r="107" spans="1:15" ht="75" customHeight="1" x14ac:dyDescent="0.25">
      <c r="A107" s="4" t="s">
        <v>6</v>
      </c>
      <c r="B107" s="10" t="str">
        <f>""</f>
        <v/>
      </c>
      <c r="C107" s="10" t="str">
        <f>"Избирательный округ (Округ №10 (№ 10)), всего"</f>
        <v>Избирательный округ (Округ №10 (№ 10)), всего</v>
      </c>
      <c r="D107" s="11">
        <v>150</v>
      </c>
      <c r="E107" s="11">
        <v>0</v>
      </c>
      <c r="F107" s="10" t="str">
        <f>""</f>
        <v/>
      </c>
      <c r="G107" s="11">
        <v>0</v>
      </c>
      <c r="H107" s="12"/>
      <c r="I107" s="11">
        <v>12.56</v>
      </c>
      <c r="J107" s="13"/>
      <c r="K107" s="11">
        <v>0</v>
      </c>
      <c r="L107" s="10" t="str">
        <f>""</f>
        <v/>
      </c>
      <c r="M107" s="11">
        <v>0</v>
      </c>
      <c r="N107" s="10" t="str">
        <f>""</f>
        <v/>
      </c>
      <c r="O107" s="3"/>
    </row>
    <row r="108" spans="1:15" ht="60" customHeight="1" x14ac:dyDescent="0.25">
      <c r="A108" s="5" t="s">
        <v>51</v>
      </c>
      <c r="B108" s="6" t="str">
        <f>"Округ №12 (№ 12)"</f>
        <v>Округ №12 (№ 12)</v>
      </c>
      <c r="C108" s="6" t="str">
        <f>"Кулаков Вячеслав Владимирович"</f>
        <v>Кулаков Вячеслав Владимирович</v>
      </c>
      <c r="D108" s="7">
        <v>0.5</v>
      </c>
      <c r="E108" s="7"/>
      <c r="F108" s="6" t="str">
        <f>""</f>
        <v/>
      </c>
      <c r="G108" s="7"/>
      <c r="H108" s="8"/>
      <c r="I108" s="7">
        <v>0.5</v>
      </c>
      <c r="J108" s="9"/>
      <c r="K108" s="7"/>
      <c r="L108" s="6" t="str">
        <f>""</f>
        <v/>
      </c>
      <c r="M108" s="7"/>
      <c r="N108" s="6" t="str">
        <f>""</f>
        <v/>
      </c>
      <c r="O108" s="3"/>
    </row>
    <row r="109" spans="1:15" ht="30" customHeight="1" x14ac:dyDescent="0.25">
      <c r="A109" s="4" t="s">
        <v>6</v>
      </c>
      <c r="B109" s="10" t="str">
        <f>""</f>
        <v/>
      </c>
      <c r="C109" s="10" t="str">
        <f>"Итого по кандидату"</f>
        <v>Итого по кандидату</v>
      </c>
      <c r="D109" s="11">
        <v>0.5</v>
      </c>
      <c r="E109" s="11">
        <v>0</v>
      </c>
      <c r="F109" s="10" t="str">
        <f>""</f>
        <v/>
      </c>
      <c r="G109" s="11">
        <v>0</v>
      </c>
      <c r="H109" s="12"/>
      <c r="I109" s="11">
        <v>0.5</v>
      </c>
      <c r="J109" s="13"/>
      <c r="K109" s="11">
        <v>0</v>
      </c>
      <c r="L109" s="10" t="str">
        <f>""</f>
        <v/>
      </c>
      <c r="M109" s="11">
        <v>0</v>
      </c>
      <c r="N109" s="10" t="str">
        <f>""</f>
        <v/>
      </c>
      <c r="O109" s="3"/>
    </row>
    <row r="110" spans="1:15" ht="45" customHeight="1" x14ac:dyDescent="0.25">
      <c r="A110" s="5" t="s">
        <v>52</v>
      </c>
      <c r="B110" s="6" t="str">
        <f>"Округ №12 (№ 12)"</f>
        <v>Округ №12 (№ 12)</v>
      </c>
      <c r="C110" s="6" t="str">
        <f>"Попов Сергей Дмитриевич"</f>
        <v>Попов Сергей Дмитриевич</v>
      </c>
      <c r="D110" s="7">
        <v>75</v>
      </c>
      <c r="E110" s="7"/>
      <c r="F110" s="6" t="str">
        <f>""</f>
        <v/>
      </c>
      <c r="G110" s="7"/>
      <c r="H110" s="8"/>
      <c r="I110" s="7">
        <v>4.1399999999999997</v>
      </c>
      <c r="J110" s="9"/>
      <c r="K110" s="7"/>
      <c r="L110" s="6" t="str">
        <f>""</f>
        <v/>
      </c>
      <c r="M110" s="7"/>
      <c r="N110" s="6" t="str">
        <f>""</f>
        <v/>
      </c>
      <c r="O110" s="3"/>
    </row>
    <row r="111" spans="1:15" ht="30" customHeight="1" x14ac:dyDescent="0.25">
      <c r="A111" s="4" t="s">
        <v>6</v>
      </c>
      <c r="B111" s="10" t="str">
        <f>""</f>
        <v/>
      </c>
      <c r="C111" s="10" t="str">
        <f>"Итого по кандидату"</f>
        <v>Итого по кандидату</v>
      </c>
      <c r="D111" s="11">
        <v>75</v>
      </c>
      <c r="E111" s="11">
        <v>0</v>
      </c>
      <c r="F111" s="10" t="str">
        <f>""</f>
        <v/>
      </c>
      <c r="G111" s="11">
        <v>0</v>
      </c>
      <c r="H111" s="12"/>
      <c r="I111" s="11">
        <v>4.1399999999999997</v>
      </c>
      <c r="J111" s="13"/>
      <c r="K111" s="11">
        <v>0</v>
      </c>
      <c r="L111" s="10" t="str">
        <f>""</f>
        <v/>
      </c>
      <c r="M111" s="11">
        <v>0</v>
      </c>
      <c r="N111" s="10" t="str">
        <f>""</f>
        <v/>
      </c>
      <c r="O111" s="3"/>
    </row>
    <row r="112" spans="1:15" ht="75" customHeight="1" x14ac:dyDescent="0.25">
      <c r="A112" s="4" t="s">
        <v>6</v>
      </c>
      <c r="B112" s="10" t="str">
        <f>""</f>
        <v/>
      </c>
      <c r="C112" s="10" t="str">
        <f>"Избирательный округ (Округ №12 (№ 12)), всего"</f>
        <v>Избирательный округ (Округ №12 (№ 12)), всего</v>
      </c>
      <c r="D112" s="11">
        <v>75.5</v>
      </c>
      <c r="E112" s="11">
        <v>0</v>
      </c>
      <c r="F112" s="10" t="str">
        <f>""</f>
        <v/>
      </c>
      <c r="G112" s="11">
        <v>0</v>
      </c>
      <c r="H112" s="12"/>
      <c r="I112" s="11">
        <v>4.6399999999999997</v>
      </c>
      <c r="J112" s="13"/>
      <c r="K112" s="11">
        <v>0</v>
      </c>
      <c r="L112" s="10" t="str">
        <f>""</f>
        <v/>
      </c>
      <c r="M112" s="11">
        <v>0</v>
      </c>
      <c r="N112" s="10" t="str">
        <f>""</f>
        <v/>
      </c>
      <c r="O112" s="3"/>
    </row>
    <row r="113" spans="1:15" ht="60" customHeight="1" x14ac:dyDescent="0.25">
      <c r="A113" s="5" t="s">
        <v>53</v>
      </c>
      <c r="B113" s="6" t="str">
        <f>"Округ №13 (№ 13)"</f>
        <v>Округ №13 (№ 13)</v>
      </c>
      <c r="C113" s="6" t="str">
        <f>"Коноваленко Андрей Владимирович"</f>
        <v>Коноваленко Андрей Владимирович</v>
      </c>
      <c r="D113" s="7">
        <v>0.5</v>
      </c>
      <c r="E113" s="7"/>
      <c r="F113" s="6" t="str">
        <f>""</f>
        <v/>
      </c>
      <c r="G113" s="7"/>
      <c r="H113" s="8"/>
      <c r="I113" s="7">
        <v>0.5</v>
      </c>
      <c r="J113" s="9"/>
      <c r="K113" s="7"/>
      <c r="L113" s="6" t="str">
        <f>""</f>
        <v/>
      </c>
      <c r="M113" s="7"/>
      <c r="N113" s="6" t="str">
        <f>""</f>
        <v/>
      </c>
      <c r="O113" s="3"/>
    </row>
    <row r="114" spans="1:15" ht="30" customHeight="1" x14ac:dyDescent="0.25">
      <c r="A114" s="4" t="s">
        <v>6</v>
      </c>
      <c r="B114" s="10" t="str">
        <f>""</f>
        <v/>
      </c>
      <c r="C114" s="10" t="str">
        <f>"Итого по кандидату"</f>
        <v>Итого по кандидату</v>
      </c>
      <c r="D114" s="11">
        <v>0.5</v>
      </c>
      <c r="E114" s="11">
        <v>0</v>
      </c>
      <c r="F114" s="10" t="str">
        <f>""</f>
        <v/>
      </c>
      <c r="G114" s="11">
        <v>0</v>
      </c>
      <c r="H114" s="12"/>
      <c r="I114" s="11">
        <v>0.5</v>
      </c>
      <c r="J114" s="13"/>
      <c r="K114" s="11">
        <v>0</v>
      </c>
      <c r="L114" s="10" t="str">
        <f>""</f>
        <v/>
      </c>
      <c r="M114" s="11">
        <v>0</v>
      </c>
      <c r="N114" s="10" t="str">
        <f>""</f>
        <v/>
      </c>
      <c r="O114" s="3"/>
    </row>
    <row r="115" spans="1:15" ht="60" customHeight="1" x14ac:dyDescent="0.25">
      <c r="A115" s="5" t="s">
        <v>54</v>
      </c>
      <c r="B115" s="6" t="str">
        <f>"Округ №13 (№ 13)"</f>
        <v>Округ №13 (№ 13)</v>
      </c>
      <c r="C115" s="6" t="str">
        <f>"Мешангова Татьяна Владимировна"</f>
        <v>Мешангова Татьяна Владимировна</v>
      </c>
      <c r="D115" s="7">
        <v>20.100000000000001</v>
      </c>
      <c r="E115" s="7"/>
      <c r="F115" s="6" t="str">
        <f>""</f>
        <v/>
      </c>
      <c r="G115" s="7"/>
      <c r="H115" s="8"/>
      <c r="I115" s="7">
        <v>0</v>
      </c>
      <c r="J115" s="9"/>
      <c r="K115" s="7"/>
      <c r="L115" s="6" t="str">
        <f>""</f>
        <v/>
      </c>
      <c r="M115" s="7"/>
      <c r="N115" s="6" t="str">
        <f>""</f>
        <v/>
      </c>
      <c r="O115" s="3"/>
    </row>
    <row r="116" spans="1:15" ht="30" customHeight="1" x14ac:dyDescent="0.25">
      <c r="A116" s="4" t="s">
        <v>6</v>
      </c>
      <c r="B116" s="10" t="str">
        <f>""</f>
        <v/>
      </c>
      <c r="C116" s="10" t="str">
        <f>"Итого по кандидату"</f>
        <v>Итого по кандидату</v>
      </c>
      <c r="D116" s="11">
        <v>20.100000000000001</v>
      </c>
      <c r="E116" s="11">
        <v>0</v>
      </c>
      <c r="F116" s="10" t="str">
        <f>""</f>
        <v/>
      </c>
      <c r="G116" s="11">
        <v>0</v>
      </c>
      <c r="H116" s="12"/>
      <c r="I116" s="11">
        <v>0</v>
      </c>
      <c r="J116" s="13"/>
      <c r="K116" s="11">
        <v>0</v>
      </c>
      <c r="L116" s="10" t="str">
        <f>""</f>
        <v/>
      </c>
      <c r="M116" s="11">
        <v>0</v>
      </c>
      <c r="N116" s="10" t="str">
        <f>""</f>
        <v/>
      </c>
      <c r="O116" s="3"/>
    </row>
    <row r="117" spans="1:15" ht="120" customHeight="1" x14ac:dyDescent="0.25">
      <c r="A117" s="5" t="s">
        <v>55</v>
      </c>
      <c r="B117" s="6" t="str">
        <f>"Округ №13 (№ 13)"</f>
        <v>Округ №13 (№ 13)</v>
      </c>
      <c r="C117" s="6" t="str">
        <f>"Мурсалов Вусал Мирпаша оглы"</f>
        <v>Мурсалов Вусал Мирпаша оглы</v>
      </c>
      <c r="D117" s="7"/>
      <c r="E117" s="7"/>
      <c r="F117" s="6" t="str">
        <f>""</f>
        <v/>
      </c>
      <c r="G117" s="7"/>
      <c r="H117" s="8"/>
      <c r="I117" s="7"/>
      <c r="J117" s="9"/>
      <c r="K117" s="7"/>
      <c r="L117" s="6" t="str">
        <f>""</f>
        <v/>
      </c>
      <c r="M117" s="7">
        <v>6</v>
      </c>
      <c r="N117" s="6" t="str">
        <f>"Возврат средств гражданину, не указавшему в платежном документе предусмотренные законом сведения"</f>
        <v>Возврат средств гражданину, не указавшему в платежном документе предусмотренные законом сведения</v>
      </c>
      <c r="O117" s="3"/>
    </row>
    <row r="118" spans="1:15" ht="60" customHeight="1" x14ac:dyDescent="0.25">
      <c r="A118" s="5" t="s">
        <v>6</v>
      </c>
      <c r="B118" s="6" t="str">
        <f>""</f>
        <v/>
      </c>
      <c r="C118" s="6" t="str">
        <f>""</f>
        <v/>
      </c>
      <c r="D118" s="7"/>
      <c r="E118" s="7"/>
      <c r="F118" s="6" t="str">
        <f>""</f>
        <v/>
      </c>
      <c r="G118" s="7"/>
      <c r="H118" s="8"/>
      <c r="I118" s="7"/>
      <c r="J118" s="9"/>
      <c r="K118" s="7"/>
      <c r="L118" s="6" t="str">
        <f>""</f>
        <v/>
      </c>
      <c r="M118" s="7">
        <v>6</v>
      </c>
      <c r="N118" s="6" t="str">
        <f>"Возврат ошибочно зачисленных средств"</f>
        <v>Возврат ошибочно зачисленных средств</v>
      </c>
      <c r="O118" s="3"/>
    </row>
    <row r="119" spans="1:15" ht="30" customHeight="1" x14ac:dyDescent="0.25">
      <c r="A119" s="4" t="s">
        <v>6</v>
      </c>
      <c r="B119" s="10" t="str">
        <f>""</f>
        <v/>
      </c>
      <c r="C119" s="10" t="str">
        <f>"Итого по кандидату"</f>
        <v>Итого по кандидату</v>
      </c>
      <c r="D119" s="11">
        <v>40.5</v>
      </c>
      <c r="E119" s="11">
        <v>0</v>
      </c>
      <c r="F119" s="10" t="str">
        <f>""</f>
        <v/>
      </c>
      <c r="G119" s="11">
        <v>0</v>
      </c>
      <c r="H119" s="12"/>
      <c r="I119" s="11">
        <v>28.5</v>
      </c>
      <c r="J119" s="13"/>
      <c r="K119" s="11">
        <v>0</v>
      </c>
      <c r="L119" s="10" t="str">
        <f>""</f>
        <v/>
      </c>
      <c r="M119" s="11">
        <v>12</v>
      </c>
      <c r="N119" s="10" t="str">
        <f>""</f>
        <v/>
      </c>
      <c r="O119" s="3"/>
    </row>
    <row r="120" spans="1:15" ht="45" customHeight="1" x14ac:dyDescent="0.25">
      <c r="A120" s="5" t="s">
        <v>56</v>
      </c>
      <c r="B120" s="6" t="str">
        <f>"Округ №13 (№ 13)"</f>
        <v>Округ №13 (№ 13)</v>
      </c>
      <c r="C120" s="6" t="str">
        <f>"Парамонов Виктор Валерьевич"</f>
        <v>Парамонов Виктор Валерьевич</v>
      </c>
      <c r="D120" s="7">
        <v>80</v>
      </c>
      <c r="E120" s="7"/>
      <c r="F120" s="6" t="str">
        <f>""</f>
        <v/>
      </c>
      <c r="G120" s="7"/>
      <c r="H120" s="8"/>
      <c r="I120" s="7">
        <v>79.989999999999995</v>
      </c>
      <c r="J120" s="9"/>
      <c r="K120" s="7"/>
      <c r="L120" s="6" t="str">
        <f>""</f>
        <v/>
      </c>
      <c r="M120" s="7"/>
      <c r="N120" s="6" t="str">
        <f>""</f>
        <v/>
      </c>
      <c r="O120" s="3"/>
    </row>
    <row r="121" spans="1:15" ht="30" customHeight="1" x14ac:dyDescent="0.25">
      <c r="A121" s="4" t="s">
        <v>6</v>
      </c>
      <c r="B121" s="10" t="str">
        <f>""</f>
        <v/>
      </c>
      <c r="C121" s="10" t="str">
        <f>"Итого по кандидату"</f>
        <v>Итого по кандидату</v>
      </c>
      <c r="D121" s="11">
        <v>80</v>
      </c>
      <c r="E121" s="11">
        <v>0</v>
      </c>
      <c r="F121" s="10" t="str">
        <f>""</f>
        <v/>
      </c>
      <c r="G121" s="11">
        <v>0</v>
      </c>
      <c r="H121" s="12"/>
      <c r="I121" s="11">
        <v>79.989999999999995</v>
      </c>
      <c r="J121" s="13"/>
      <c r="K121" s="11">
        <v>0</v>
      </c>
      <c r="L121" s="10" t="str">
        <f>""</f>
        <v/>
      </c>
      <c r="M121" s="11">
        <v>0</v>
      </c>
      <c r="N121" s="10" t="str">
        <f>""</f>
        <v/>
      </c>
      <c r="O121" s="3"/>
    </row>
    <row r="122" spans="1:15" ht="300" customHeight="1" x14ac:dyDescent="0.25">
      <c r="A122" s="5" t="s">
        <v>57</v>
      </c>
      <c r="B122" s="6" t="str">
        <f>"Округ №13 (№ 13)"</f>
        <v>Округ №13 (№ 13)</v>
      </c>
      <c r="C122" s="6" t="str">
        <f>"Трубина Алина Александровна"</f>
        <v>Трубина Алина Александровна</v>
      </c>
      <c r="D122" s="7">
        <v>735</v>
      </c>
      <c r="E122" s="7"/>
      <c r="F122" s="6" t="str">
        <f>""</f>
        <v/>
      </c>
      <c r="G122" s="7"/>
      <c r="H122" s="8"/>
      <c r="I122" s="7">
        <v>63.23</v>
      </c>
      <c r="J122" s="9" t="s">
        <v>58</v>
      </c>
      <c r="K122" s="7">
        <v>60</v>
      </c>
      <c r="L122" s="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22" s="7"/>
      <c r="N122" s="6" t="str">
        <f>""</f>
        <v/>
      </c>
      <c r="O122" s="3"/>
    </row>
    <row r="123" spans="1:15" ht="30" customHeight="1" x14ac:dyDescent="0.25">
      <c r="A123" s="4" t="s">
        <v>6</v>
      </c>
      <c r="B123" s="10" t="str">
        <f>""</f>
        <v/>
      </c>
      <c r="C123" s="10" t="str">
        <f>"Итого по кандидату"</f>
        <v>Итого по кандидату</v>
      </c>
      <c r="D123" s="11">
        <v>735</v>
      </c>
      <c r="E123" s="11">
        <v>0</v>
      </c>
      <c r="F123" s="10" t="str">
        <f>""</f>
        <v/>
      </c>
      <c r="G123" s="11">
        <v>0</v>
      </c>
      <c r="H123" s="12"/>
      <c r="I123" s="11">
        <v>63.23</v>
      </c>
      <c r="J123" s="13"/>
      <c r="K123" s="11">
        <v>60</v>
      </c>
      <c r="L123" s="10" t="str">
        <f>""</f>
        <v/>
      </c>
      <c r="M123" s="11">
        <v>0</v>
      </c>
      <c r="N123" s="10" t="str">
        <f>""</f>
        <v/>
      </c>
      <c r="O123" s="1"/>
    </row>
    <row r="124" spans="1:15" ht="75" customHeight="1" x14ac:dyDescent="0.25">
      <c r="A124" s="4" t="s">
        <v>6</v>
      </c>
      <c r="B124" s="10" t="str">
        <f>""</f>
        <v/>
      </c>
      <c r="C124" s="10" t="str">
        <f>"Избирательный округ (Округ №13 (№ 13)), всего"</f>
        <v>Избирательный округ (Округ №13 (№ 13)), всего</v>
      </c>
      <c r="D124" s="11">
        <v>876.1</v>
      </c>
      <c r="E124" s="11">
        <v>0</v>
      </c>
      <c r="F124" s="10" t="str">
        <f>""</f>
        <v/>
      </c>
      <c r="G124" s="11">
        <v>0</v>
      </c>
      <c r="H124" s="12"/>
      <c r="I124" s="11">
        <v>172.22</v>
      </c>
      <c r="J124" s="13"/>
      <c r="K124" s="11">
        <v>60</v>
      </c>
      <c r="L124" s="10" t="str">
        <f>""</f>
        <v/>
      </c>
      <c r="M124" s="11">
        <v>12</v>
      </c>
      <c r="N124" s="10" t="str">
        <f>""</f>
        <v/>
      </c>
      <c r="O124" s="3"/>
    </row>
    <row r="125" spans="1:15" ht="45" customHeight="1" x14ac:dyDescent="0.25">
      <c r="A125" s="5" t="s">
        <v>59</v>
      </c>
      <c r="B125" s="6" t="str">
        <f>"Округ №14 (№ 14)"</f>
        <v>Округ №14 (№ 14)</v>
      </c>
      <c r="C125" s="6" t="str">
        <f>"Вертяшкин Александр Михайлович"</f>
        <v>Вертяшкин Александр Михайлович</v>
      </c>
      <c r="D125" s="7">
        <v>75</v>
      </c>
      <c r="E125" s="7"/>
      <c r="F125" s="6" t="str">
        <f>""</f>
        <v/>
      </c>
      <c r="G125" s="7"/>
      <c r="H125" s="8"/>
      <c r="I125" s="7">
        <v>11.33</v>
      </c>
      <c r="J125" s="9"/>
      <c r="K125" s="7"/>
      <c r="L125" s="6" t="str">
        <f>""</f>
        <v/>
      </c>
      <c r="M125" s="7"/>
      <c r="N125" s="6" t="str">
        <f>""</f>
        <v/>
      </c>
      <c r="O125" s="3"/>
    </row>
    <row r="126" spans="1:15" ht="30" customHeight="1" x14ac:dyDescent="0.25">
      <c r="A126" s="4" t="s">
        <v>6</v>
      </c>
      <c r="B126" s="10" t="str">
        <f>""</f>
        <v/>
      </c>
      <c r="C126" s="10" t="str">
        <f>"Итого по кандидату"</f>
        <v>Итого по кандидату</v>
      </c>
      <c r="D126" s="11">
        <v>75</v>
      </c>
      <c r="E126" s="11">
        <v>0</v>
      </c>
      <c r="F126" s="10" t="str">
        <f>""</f>
        <v/>
      </c>
      <c r="G126" s="11">
        <v>0</v>
      </c>
      <c r="H126" s="12"/>
      <c r="I126" s="11">
        <v>11.33</v>
      </c>
      <c r="J126" s="13"/>
      <c r="K126" s="11">
        <v>0</v>
      </c>
      <c r="L126" s="10" t="str">
        <f>""</f>
        <v/>
      </c>
      <c r="M126" s="11">
        <v>0</v>
      </c>
      <c r="N126" s="10" t="str">
        <f>""</f>
        <v/>
      </c>
      <c r="O126" s="3"/>
    </row>
    <row r="127" spans="1:15" ht="45" customHeight="1" x14ac:dyDescent="0.25">
      <c r="A127" s="5" t="s">
        <v>60</v>
      </c>
      <c r="B127" s="6" t="str">
        <f>"Округ №14 (№ 14)"</f>
        <v>Округ №14 (№ 14)</v>
      </c>
      <c r="C127" s="6" t="str">
        <f>"Гуменюк Владимир Алексеевич"</f>
        <v>Гуменюк Владимир Алексеевич</v>
      </c>
      <c r="D127" s="7">
        <v>0.5</v>
      </c>
      <c r="E127" s="7"/>
      <c r="F127" s="6" t="str">
        <f>""</f>
        <v/>
      </c>
      <c r="G127" s="7"/>
      <c r="H127" s="8"/>
      <c r="I127" s="7">
        <v>0.5</v>
      </c>
      <c r="J127" s="9"/>
      <c r="K127" s="7"/>
      <c r="L127" s="6" t="str">
        <f>""</f>
        <v/>
      </c>
      <c r="M127" s="7"/>
      <c r="N127" s="6" t="str">
        <f>""</f>
        <v/>
      </c>
      <c r="O127" s="3"/>
    </row>
    <row r="128" spans="1:15" ht="30" customHeight="1" x14ac:dyDescent="0.25">
      <c r="A128" s="4" t="s">
        <v>6</v>
      </c>
      <c r="B128" s="10" t="str">
        <f>""</f>
        <v/>
      </c>
      <c r="C128" s="10" t="str">
        <f>"Итого по кандидату"</f>
        <v>Итого по кандидату</v>
      </c>
      <c r="D128" s="11">
        <v>0.5</v>
      </c>
      <c r="E128" s="11">
        <v>0</v>
      </c>
      <c r="F128" s="10" t="str">
        <f>""</f>
        <v/>
      </c>
      <c r="G128" s="11">
        <v>0</v>
      </c>
      <c r="H128" s="12"/>
      <c r="I128" s="11">
        <v>0.5</v>
      </c>
      <c r="J128" s="13"/>
      <c r="K128" s="11">
        <v>0</v>
      </c>
      <c r="L128" s="10" t="str">
        <f>""</f>
        <v/>
      </c>
      <c r="M128" s="11">
        <v>0</v>
      </c>
      <c r="N128" s="10" t="str">
        <f>""</f>
        <v/>
      </c>
      <c r="O128" s="3"/>
    </row>
    <row r="129" spans="1:15" ht="60" customHeight="1" x14ac:dyDescent="0.25">
      <c r="A129" s="5" t="s">
        <v>61</v>
      </c>
      <c r="B129" s="6" t="str">
        <f>"Округ №14 (№ 14)"</f>
        <v>Округ №14 (№ 14)</v>
      </c>
      <c r="C129" s="6" t="str">
        <f>"Журавлев Аркадий Владимирович"</f>
        <v>Журавлев Аркадий Владимирович</v>
      </c>
      <c r="D129" s="7">
        <v>200.2</v>
      </c>
      <c r="E129" s="7"/>
      <c r="F129" s="6" t="str">
        <f>""</f>
        <v/>
      </c>
      <c r="G129" s="7"/>
      <c r="H129" s="8"/>
      <c r="I129" s="7">
        <v>124.74</v>
      </c>
      <c r="J129" s="9"/>
      <c r="K129" s="7"/>
      <c r="L129" s="6" t="str">
        <f>""</f>
        <v/>
      </c>
      <c r="M129" s="7"/>
      <c r="N129" s="6" t="str">
        <f>""</f>
        <v/>
      </c>
      <c r="O129" s="3"/>
    </row>
    <row r="130" spans="1:15" ht="30" customHeight="1" x14ac:dyDescent="0.25">
      <c r="A130" s="4" t="s">
        <v>6</v>
      </c>
      <c r="B130" s="10" t="str">
        <f>""</f>
        <v/>
      </c>
      <c r="C130" s="10" t="str">
        <f>"Итого по кандидату"</f>
        <v>Итого по кандидату</v>
      </c>
      <c r="D130" s="11">
        <v>200.2</v>
      </c>
      <c r="E130" s="11">
        <v>0</v>
      </c>
      <c r="F130" s="10" t="str">
        <f>""</f>
        <v/>
      </c>
      <c r="G130" s="11">
        <v>0</v>
      </c>
      <c r="H130" s="12"/>
      <c r="I130" s="11">
        <v>124.74</v>
      </c>
      <c r="J130" s="13"/>
      <c r="K130" s="11">
        <v>0</v>
      </c>
      <c r="L130" s="10" t="str">
        <f>""</f>
        <v/>
      </c>
      <c r="M130" s="11">
        <v>0</v>
      </c>
      <c r="N130" s="10" t="str">
        <f>""</f>
        <v/>
      </c>
      <c r="O130" s="3"/>
    </row>
    <row r="131" spans="1:15" ht="60" customHeight="1" x14ac:dyDescent="0.25">
      <c r="A131" s="5" t="s">
        <v>62</v>
      </c>
      <c r="B131" s="6" t="str">
        <f>"Округ №14 (№ 14)"</f>
        <v>Округ №14 (№ 14)</v>
      </c>
      <c r="C131" s="6" t="str">
        <f>"Меркушина Елена Владимировна"</f>
        <v>Меркушина Елена Владимировна</v>
      </c>
      <c r="D131" s="7">
        <v>65.55</v>
      </c>
      <c r="E131" s="7"/>
      <c r="F131" s="6" t="str">
        <f>""</f>
        <v/>
      </c>
      <c r="G131" s="7"/>
      <c r="H131" s="8"/>
      <c r="I131" s="7">
        <v>42.93</v>
      </c>
      <c r="J131" s="9"/>
      <c r="K131" s="7"/>
      <c r="L131" s="6" t="str">
        <f>""</f>
        <v/>
      </c>
      <c r="M131" s="7"/>
      <c r="N131" s="6" t="str">
        <f>""</f>
        <v/>
      </c>
      <c r="O131" s="3"/>
    </row>
    <row r="132" spans="1:15" ht="30" customHeight="1" x14ac:dyDescent="0.25">
      <c r="A132" s="4" t="s">
        <v>6</v>
      </c>
      <c r="B132" s="10" t="str">
        <f>""</f>
        <v/>
      </c>
      <c r="C132" s="10" t="str">
        <f>"Итого по кандидату"</f>
        <v>Итого по кандидату</v>
      </c>
      <c r="D132" s="11">
        <v>65.55</v>
      </c>
      <c r="E132" s="11">
        <v>0</v>
      </c>
      <c r="F132" s="10" t="str">
        <f>""</f>
        <v/>
      </c>
      <c r="G132" s="11">
        <v>0</v>
      </c>
      <c r="H132" s="12"/>
      <c r="I132" s="11">
        <v>42.93</v>
      </c>
      <c r="J132" s="13"/>
      <c r="K132" s="11">
        <v>0</v>
      </c>
      <c r="L132" s="10" t="str">
        <f>""</f>
        <v/>
      </c>
      <c r="M132" s="11">
        <v>0</v>
      </c>
      <c r="N132" s="10" t="str">
        <f>""</f>
        <v/>
      </c>
      <c r="O132" s="3"/>
    </row>
    <row r="133" spans="1:15" ht="75" customHeight="1" x14ac:dyDescent="0.25">
      <c r="A133" s="4" t="s">
        <v>6</v>
      </c>
      <c r="B133" s="10" t="str">
        <f>""</f>
        <v/>
      </c>
      <c r="C133" s="10" t="str">
        <f>"Избирательный округ (Округ №14 (№ 14)), всего"</f>
        <v>Избирательный округ (Округ №14 (№ 14)), всего</v>
      </c>
      <c r="D133" s="11">
        <v>341.25</v>
      </c>
      <c r="E133" s="11">
        <v>0</v>
      </c>
      <c r="F133" s="10" t="str">
        <f>""</f>
        <v/>
      </c>
      <c r="G133" s="11">
        <v>0</v>
      </c>
      <c r="H133" s="12"/>
      <c r="I133" s="11">
        <v>179.5</v>
      </c>
      <c r="J133" s="13"/>
      <c r="K133" s="11">
        <v>0</v>
      </c>
      <c r="L133" s="10" t="str">
        <f>""</f>
        <v/>
      </c>
      <c r="M133" s="11">
        <v>0</v>
      </c>
      <c r="N133" s="10" t="str">
        <f>""</f>
        <v/>
      </c>
      <c r="O133" s="3"/>
    </row>
    <row r="134" spans="1:15" ht="45" customHeight="1" x14ac:dyDescent="0.25">
      <c r="A134" s="5" t="s">
        <v>63</v>
      </c>
      <c r="B134" s="6" t="str">
        <f>"Округ №15 (№ 15)"</f>
        <v>Округ №15 (№ 15)</v>
      </c>
      <c r="C134" s="6" t="str">
        <f>"Иванова Алена Павловна"</f>
        <v>Иванова Алена Павловна</v>
      </c>
      <c r="D134" s="7">
        <v>75</v>
      </c>
      <c r="E134" s="7"/>
      <c r="F134" s="6" t="str">
        <f>""</f>
        <v/>
      </c>
      <c r="G134" s="7"/>
      <c r="H134" s="8"/>
      <c r="I134" s="7">
        <v>12.56</v>
      </c>
      <c r="J134" s="9"/>
      <c r="K134" s="7"/>
      <c r="L134" s="6" t="str">
        <f>""</f>
        <v/>
      </c>
      <c r="M134" s="7"/>
      <c r="N134" s="6" t="str">
        <f>""</f>
        <v/>
      </c>
      <c r="O134" s="3"/>
    </row>
    <row r="135" spans="1:15" ht="30" customHeight="1" x14ac:dyDescent="0.25">
      <c r="A135" s="4" t="s">
        <v>6</v>
      </c>
      <c r="B135" s="10" t="str">
        <f>""</f>
        <v/>
      </c>
      <c r="C135" s="10" t="str">
        <f>"Итого по кандидату"</f>
        <v>Итого по кандидату</v>
      </c>
      <c r="D135" s="11">
        <v>75</v>
      </c>
      <c r="E135" s="11">
        <v>0</v>
      </c>
      <c r="F135" s="10" t="str">
        <f>""</f>
        <v/>
      </c>
      <c r="G135" s="11">
        <v>0</v>
      </c>
      <c r="H135" s="12"/>
      <c r="I135" s="11">
        <v>12.56</v>
      </c>
      <c r="J135" s="13"/>
      <c r="K135" s="11">
        <v>0</v>
      </c>
      <c r="L135" s="10" t="str">
        <f>""</f>
        <v/>
      </c>
      <c r="M135" s="11">
        <v>0</v>
      </c>
      <c r="N135" s="10" t="str">
        <f>""</f>
        <v/>
      </c>
      <c r="O135" s="3"/>
    </row>
    <row r="136" spans="1:15" ht="45" customHeight="1" x14ac:dyDescent="0.25">
      <c r="A136" s="5" t="s">
        <v>64</v>
      </c>
      <c r="B136" s="6" t="str">
        <f>"Округ №15 (№ 15)"</f>
        <v>Округ №15 (№ 15)</v>
      </c>
      <c r="C136" s="6" t="str">
        <f>"Мустафаева Мария Сергеевна"</f>
        <v>Мустафаева Мария Сергеевна</v>
      </c>
      <c r="D136" s="7"/>
      <c r="E136" s="7"/>
      <c r="F136" s="6" t="str">
        <f>""</f>
        <v/>
      </c>
      <c r="G136" s="7"/>
      <c r="H136" s="8"/>
      <c r="I136" s="7"/>
      <c r="J136" s="9"/>
      <c r="K136" s="7"/>
      <c r="L136" s="6" t="str">
        <f>""</f>
        <v/>
      </c>
      <c r="M136" s="7"/>
      <c r="N136" s="6" t="str">
        <f>""</f>
        <v/>
      </c>
      <c r="O136" s="3"/>
    </row>
    <row r="137" spans="1:15" ht="30" customHeight="1" x14ac:dyDescent="0.25">
      <c r="A137" s="4" t="s">
        <v>6</v>
      </c>
      <c r="B137" s="10" t="str">
        <f>""</f>
        <v/>
      </c>
      <c r="C137" s="10" t="str">
        <f>"Итого по кандидату"</f>
        <v>Итого по кандидату</v>
      </c>
      <c r="D137" s="11">
        <v>1</v>
      </c>
      <c r="E137" s="11">
        <v>0</v>
      </c>
      <c r="F137" s="10" t="str">
        <f>""</f>
        <v/>
      </c>
      <c r="G137" s="11">
        <v>0</v>
      </c>
      <c r="H137" s="12"/>
      <c r="I137" s="11">
        <v>0.5</v>
      </c>
      <c r="J137" s="13"/>
      <c r="K137" s="11">
        <v>0</v>
      </c>
      <c r="L137" s="10" t="str">
        <f>""</f>
        <v/>
      </c>
      <c r="M137" s="11">
        <v>0</v>
      </c>
      <c r="N137" s="10" t="str">
        <f>""</f>
        <v/>
      </c>
      <c r="O137" s="3"/>
    </row>
    <row r="138" spans="1:15" ht="45" customHeight="1" x14ac:dyDescent="0.25">
      <c r="A138" s="5" t="s">
        <v>65</v>
      </c>
      <c r="B138" s="6" t="str">
        <f>"Округ №15 (№ 15)"</f>
        <v>Округ №15 (№ 15)</v>
      </c>
      <c r="C138" s="6" t="str">
        <f>"Мустафаева Мария Сергеевна"</f>
        <v>Мустафаева Мария Сергеевна</v>
      </c>
      <c r="D138" s="7"/>
      <c r="E138" s="7"/>
      <c r="F138" s="6" t="str">
        <f>""</f>
        <v/>
      </c>
      <c r="G138" s="7"/>
      <c r="H138" s="8"/>
      <c r="I138" s="7"/>
      <c r="J138" s="9"/>
      <c r="K138" s="7"/>
      <c r="L138" s="6" t="str">
        <f>""</f>
        <v/>
      </c>
      <c r="M138" s="7"/>
      <c r="N138" s="6" t="str">
        <f>""</f>
        <v/>
      </c>
      <c r="O138" s="3"/>
    </row>
    <row r="139" spans="1:15" ht="30" customHeight="1" x14ac:dyDescent="0.25">
      <c r="A139" s="4" t="s">
        <v>6</v>
      </c>
      <c r="B139" s="10" t="str">
        <f>""</f>
        <v/>
      </c>
      <c r="C139" s="10" t="str">
        <f>"Итого по кандидату"</f>
        <v>Итого по кандидату</v>
      </c>
      <c r="D139" s="11">
        <v>0.5</v>
      </c>
      <c r="E139" s="11">
        <v>0</v>
      </c>
      <c r="F139" s="10" t="str">
        <f>""</f>
        <v/>
      </c>
      <c r="G139" s="11">
        <v>0</v>
      </c>
      <c r="H139" s="12"/>
      <c r="I139" s="11">
        <v>0.5</v>
      </c>
      <c r="J139" s="13"/>
      <c r="K139" s="11">
        <v>0</v>
      </c>
      <c r="L139" s="10" t="str">
        <f>""</f>
        <v/>
      </c>
      <c r="M139" s="11">
        <v>0</v>
      </c>
      <c r="N139" s="10" t="str">
        <f>""</f>
        <v/>
      </c>
      <c r="O139" s="3"/>
    </row>
    <row r="140" spans="1:15" ht="60" customHeight="1" x14ac:dyDescent="0.25">
      <c r="A140" s="5" t="s">
        <v>66</v>
      </c>
      <c r="B140" s="6" t="str">
        <f>"Округ №15 (№ 15)"</f>
        <v>Округ №15 (№ 15)</v>
      </c>
      <c r="C140" s="6" t="str">
        <f>"Соколов Дмитрий Анатольевич"</f>
        <v>Соколов Дмитрий Анатольевич</v>
      </c>
      <c r="D140" s="7">
        <v>23.4</v>
      </c>
      <c r="E140" s="7"/>
      <c r="F140" s="6" t="str">
        <f>""</f>
        <v/>
      </c>
      <c r="G140" s="7"/>
      <c r="H140" s="8"/>
      <c r="I140" s="7">
        <v>23.4</v>
      </c>
      <c r="J140" s="9"/>
      <c r="K140" s="7"/>
      <c r="L140" s="6" t="str">
        <f>""</f>
        <v/>
      </c>
      <c r="M140" s="7"/>
      <c r="N140" s="6" t="str">
        <f>""</f>
        <v/>
      </c>
      <c r="O140" s="3"/>
    </row>
    <row r="141" spans="1:15" ht="30" customHeight="1" x14ac:dyDescent="0.25">
      <c r="A141" s="4" t="s">
        <v>6</v>
      </c>
      <c r="B141" s="10" t="str">
        <f>""</f>
        <v/>
      </c>
      <c r="C141" s="10" t="str">
        <f>"Итого по кандидату"</f>
        <v>Итого по кандидату</v>
      </c>
      <c r="D141" s="11">
        <v>23.4</v>
      </c>
      <c r="E141" s="11">
        <v>0</v>
      </c>
      <c r="F141" s="10" t="str">
        <f>""</f>
        <v/>
      </c>
      <c r="G141" s="11">
        <v>0</v>
      </c>
      <c r="H141" s="12"/>
      <c r="I141" s="11">
        <v>23.4</v>
      </c>
      <c r="J141" s="13"/>
      <c r="K141" s="11">
        <v>0</v>
      </c>
      <c r="L141" s="10" t="str">
        <f>""</f>
        <v/>
      </c>
      <c r="M141" s="11">
        <v>0</v>
      </c>
      <c r="N141" s="10" t="str">
        <f>""</f>
        <v/>
      </c>
      <c r="O141" s="3"/>
    </row>
    <row r="142" spans="1:15" ht="45" customHeight="1" x14ac:dyDescent="0.25">
      <c r="A142" s="5" t="s">
        <v>67</v>
      </c>
      <c r="B142" s="6" t="str">
        <f>"Округ №15 (№ 15)"</f>
        <v>Округ №15 (№ 15)</v>
      </c>
      <c r="C142" s="6" t="str">
        <f>"Хачатрян Норайр Фрунзович"</f>
        <v>Хачатрян Норайр Фрунзович</v>
      </c>
      <c r="D142" s="7">
        <v>37.380000000000003</v>
      </c>
      <c r="E142" s="7"/>
      <c r="F142" s="6" t="str">
        <f>""</f>
        <v/>
      </c>
      <c r="G142" s="7"/>
      <c r="H142" s="8"/>
      <c r="I142" s="7">
        <v>37.26</v>
      </c>
      <c r="J142" s="9"/>
      <c r="K142" s="7"/>
      <c r="L142" s="6" t="str">
        <f>""</f>
        <v/>
      </c>
      <c r="M142" s="7"/>
      <c r="N142" s="6" t="str">
        <f>""</f>
        <v/>
      </c>
      <c r="O142" s="3"/>
    </row>
    <row r="143" spans="1:15" ht="30" customHeight="1" x14ac:dyDescent="0.25">
      <c r="A143" s="4" t="s">
        <v>6</v>
      </c>
      <c r="B143" s="10" t="str">
        <f>""</f>
        <v/>
      </c>
      <c r="C143" s="10" t="str">
        <f>"Итого по кандидату"</f>
        <v>Итого по кандидату</v>
      </c>
      <c r="D143" s="11">
        <v>37.380000000000003</v>
      </c>
      <c r="E143" s="11">
        <v>0</v>
      </c>
      <c r="F143" s="10" t="str">
        <f>""</f>
        <v/>
      </c>
      <c r="G143" s="11">
        <v>0</v>
      </c>
      <c r="H143" s="12"/>
      <c r="I143" s="11">
        <v>37.26</v>
      </c>
      <c r="J143" s="13"/>
      <c r="K143" s="11">
        <v>0</v>
      </c>
      <c r="L143" s="10" t="str">
        <f>""</f>
        <v/>
      </c>
      <c r="M143" s="11">
        <v>0</v>
      </c>
      <c r="N143" s="10" t="str">
        <f>""</f>
        <v/>
      </c>
      <c r="O143" s="3"/>
    </row>
    <row r="144" spans="1:15" ht="405" customHeight="1" x14ac:dyDescent="0.25">
      <c r="A144" s="5" t="s">
        <v>68</v>
      </c>
      <c r="B144" s="6" t="str">
        <f>"Округ №15 (№ 15)"</f>
        <v>Округ №15 (№ 15)</v>
      </c>
      <c r="C144" s="6" t="str">
        <f>"Экрот Сергей Георгиевич"</f>
        <v>Экрот Сергей Георгиевич</v>
      </c>
      <c r="D144" s="7">
        <v>125</v>
      </c>
      <c r="E144" s="7"/>
      <c r="F144" s="6" t="str">
        <f>""</f>
        <v/>
      </c>
      <c r="G144" s="7"/>
      <c r="H144" s="8"/>
      <c r="I144" s="7">
        <v>123.13</v>
      </c>
      <c r="J144" s="9" t="s">
        <v>58</v>
      </c>
      <c r="K144" s="7">
        <v>72</v>
      </c>
      <c r="L144" s="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44" s="7"/>
      <c r="N144" s="6" t="str">
        <f>""</f>
        <v/>
      </c>
      <c r="O144" s="3"/>
    </row>
    <row r="145" spans="1:15" ht="30" customHeight="1" x14ac:dyDescent="0.25">
      <c r="A145" s="4" t="s">
        <v>6</v>
      </c>
      <c r="B145" s="10" t="str">
        <f>""</f>
        <v/>
      </c>
      <c r="C145" s="10" t="str">
        <f>"Итого по кандидату"</f>
        <v>Итого по кандидату</v>
      </c>
      <c r="D145" s="11">
        <v>125</v>
      </c>
      <c r="E145" s="11">
        <v>0</v>
      </c>
      <c r="F145" s="10" t="str">
        <f>""</f>
        <v/>
      </c>
      <c r="G145" s="11">
        <v>0</v>
      </c>
      <c r="H145" s="12"/>
      <c r="I145" s="11">
        <v>123.13</v>
      </c>
      <c r="J145" s="13"/>
      <c r="K145" s="11">
        <v>72</v>
      </c>
      <c r="L145" s="10" t="str">
        <f>""</f>
        <v/>
      </c>
      <c r="M145" s="11">
        <v>0</v>
      </c>
      <c r="N145" s="10" t="str">
        <f>""</f>
        <v/>
      </c>
      <c r="O145" s="1"/>
    </row>
    <row r="146" spans="1:15" ht="75" customHeight="1" x14ac:dyDescent="0.25">
      <c r="A146" s="4" t="s">
        <v>6</v>
      </c>
      <c r="B146" s="10" t="str">
        <f>""</f>
        <v/>
      </c>
      <c r="C146" s="10" t="str">
        <f>"Избирательный округ (Округ №15 (№ 15)), всего"</f>
        <v>Избирательный округ (Округ №15 (№ 15)), всего</v>
      </c>
      <c r="D146" s="11">
        <v>262.27999999999997</v>
      </c>
      <c r="E146" s="11">
        <v>0</v>
      </c>
      <c r="F146" s="10" t="str">
        <f>""</f>
        <v/>
      </c>
      <c r="G146" s="11">
        <v>0</v>
      </c>
      <c r="H146" s="12"/>
      <c r="I146" s="11">
        <v>197.35</v>
      </c>
      <c r="J146" s="13"/>
      <c r="K146" s="11">
        <v>72</v>
      </c>
      <c r="L146" s="10" t="str">
        <f>""</f>
        <v/>
      </c>
      <c r="M146" s="11">
        <v>0</v>
      </c>
      <c r="N146" s="10" t="str">
        <f>""</f>
        <v/>
      </c>
      <c r="O146" s="3"/>
    </row>
    <row r="147" spans="1:15" ht="30" customHeight="1" x14ac:dyDescent="0.25">
      <c r="A147" s="5" t="s">
        <v>69</v>
      </c>
      <c r="B147" s="6" t="str">
        <f>"Округ №16 (№ 16)"</f>
        <v>Округ №16 (№ 16)</v>
      </c>
      <c r="C147" s="6" t="str">
        <f>"Рогов Игорь Валерьевич"</f>
        <v>Рогов Игорь Валерьевич</v>
      </c>
      <c r="D147" s="7">
        <v>1</v>
      </c>
      <c r="E147" s="7"/>
      <c r="F147" s="6" t="str">
        <f>""</f>
        <v/>
      </c>
      <c r="G147" s="7"/>
      <c r="H147" s="8"/>
      <c r="I147" s="7">
        <v>1</v>
      </c>
      <c r="J147" s="9"/>
      <c r="K147" s="7"/>
      <c r="L147" s="6" t="str">
        <f>""</f>
        <v/>
      </c>
      <c r="M147" s="7"/>
      <c r="N147" s="6" t="str">
        <f>""</f>
        <v/>
      </c>
      <c r="O147" s="3"/>
    </row>
    <row r="148" spans="1:15" ht="30" customHeight="1" x14ac:dyDescent="0.25">
      <c r="A148" s="4" t="s">
        <v>6</v>
      </c>
      <c r="B148" s="10" t="str">
        <f>""</f>
        <v/>
      </c>
      <c r="C148" s="10" t="str">
        <f>"Итого по кандидату"</f>
        <v>Итого по кандидату</v>
      </c>
      <c r="D148" s="11">
        <v>1</v>
      </c>
      <c r="E148" s="11">
        <v>0</v>
      </c>
      <c r="F148" s="10" t="str">
        <f>""</f>
        <v/>
      </c>
      <c r="G148" s="11">
        <v>0</v>
      </c>
      <c r="H148" s="12"/>
      <c r="I148" s="11">
        <v>1</v>
      </c>
      <c r="J148" s="13"/>
      <c r="K148" s="11">
        <v>0</v>
      </c>
      <c r="L148" s="10" t="str">
        <f>""</f>
        <v/>
      </c>
      <c r="M148" s="11">
        <v>0</v>
      </c>
      <c r="N148" s="10" t="str">
        <f>""</f>
        <v/>
      </c>
      <c r="O148" s="3"/>
    </row>
    <row r="149" spans="1:15" ht="45" customHeight="1" x14ac:dyDescent="0.25">
      <c r="A149" s="5" t="s">
        <v>70</v>
      </c>
      <c r="B149" s="6" t="str">
        <f>"Округ №16 (№ 16)"</f>
        <v>Округ №16 (№ 16)</v>
      </c>
      <c r="C149" s="6" t="str">
        <f>"Рысюк Геннадий Викторович"</f>
        <v>Рысюк Геннадий Викторович</v>
      </c>
      <c r="D149" s="7"/>
      <c r="E149" s="7"/>
      <c r="F149" s="6" t="str">
        <f>""</f>
        <v/>
      </c>
      <c r="G149" s="7"/>
      <c r="H149" s="8"/>
      <c r="I149" s="7"/>
      <c r="J149" s="9"/>
      <c r="K149" s="7"/>
      <c r="L149" s="6" t="str">
        <f>""</f>
        <v/>
      </c>
      <c r="M149" s="7"/>
      <c r="N149" s="6" t="str">
        <f>""</f>
        <v/>
      </c>
      <c r="O149" s="3"/>
    </row>
    <row r="150" spans="1:15" ht="30" customHeight="1" x14ac:dyDescent="0.25">
      <c r="A150" s="4" t="s">
        <v>6</v>
      </c>
      <c r="B150" s="10" t="str">
        <f>""</f>
        <v/>
      </c>
      <c r="C150" s="10" t="str">
        <f>"Итого по кандидату"</f>
        <v>Итого по кандидату</v>
      </c>
      <c r="D150" s="11">
        <v>0.5</v>
      </c>
      <c r="E150" s="11">
        <v>0</v>
      </c>
      <c r="F150" s="10" t="str">
        <f>""</f>
        <v/>
      </c>
      <c r="G150" s="11">
        <v>0</v>
      </c>
      <c r="H150" s="12"/>
      <c r="I150" s="11">
        <v>0.5</v>
      </c>
      <c r="J150" s="13"/>
      <c r="K150" s="11">
        <v>0</v>
      </c>
      <c r="L150" s="10" t="str">
        <f>""</f>
        <v/>
      </c>
      <c r="M150" s="11">
        <v>0</v>
      </c>
      <c r="N150" s="10" t="str">
        <f>""</f>
        <v/>
      </c>
      <c r="O150" s="3"/>
    </row>
    <row r="151" spans="1:15" ht="45" customHeight="1" x14ac:dyDescent="0.25">
      <c r="A151" s="5" t="s">
        <v>71</v>
      </c>
      <c r="B151" s="6" t="str">
        <f>"Округ №16 (№ 16)"</f>
        <v>Округ №16 (№ 16)</v>
      </c>
      <c r="C151" s="6" t="str">
        <f>"Рысюк Геннадий Викторович"</f>
        <v>Рысюк Геннадий Викторович</v>
      </c>
      <c r="D151" s="7"/>
      <c r="E151" s="7"/>
      <c r="F151" s="6" t="str">
        <f>""</f>
        <v/>
      </c>
      <c r="G151" s="7"/>
      <c r="H151" s="8"/>
      <c r="I151" s="7"/>
      <c r="J151" s="9"/>
      <c r="K151" s="7"/>
      <c r="L151" s="6" t="str">
        <f>""</f>
        <v/>
      </c>
      <c r="M151" s="7"/>
      <c r="N151" s="6" t="str">
        <f>""</f>
        <v/>
      </c>
      <c r="O151" s="3"/>
    </row>
    <row r="152" spans="1:15" ht="30" customHeight="1" x14ac:dyDescent="0.25">
      <c r="A152" s="4" t="s">
        <v>6</v>
      </c>
      <c r="B152" s="10" t="str">
        <f>""</f>
        <v/>
      </c>
      <c r="C152" s="10" t="str">
        <f>"Итого по кандидату"</f>
        <v>Итого по кандидату</v>
      </c>
      <c r="D152" s="11">
        <v>0.5</v>
      </c>
      <c r="E152" s="11">
        <v>0</v>
      </c>
      <c r="F152" s="10" t="str">
        <f>""</f>
        <v/>
      </c>
      <c r="G152" s="11">
        <v>0</v>
      </c>
      <c r="H152" s="12"/>
      <c r="I152" s="11">
        <v>0.5</v>
      </c>
      <c r="J152" s="13"/>
      <c r="K152" s="11">
        <v>0</v>
      </c>
      <c r="L152" s="10" t="str">
        <f>""</f>
        <v/>
      </c>
      <c r="M152" s="11">
        <v>0</v>
      </c>
      <c r="N152" s="10" t="str">
        <f>""</f>
        <v/>
      </c>
      <c r="O152" s="3"/>
    </row>
    <row r="153" spans="1:15" ht="45" customHeight="1" x14ac:dyDescent="0.25">
      <c r="A153" s="5" t="s">
        <v>72</v>
      </c>
      <c r="B153" s="6" t="str">
        <f>"Округ №16 (№ 16)"</f>
        <v>Округ №16 (№ 16)</v>
      </c>
      <c r="C153" s="6" t="str">
        <f>"Ситников Артем Николаевич"</f>
        <v>Ситников Артем Николаевич</v>
      </c>
      <c r="D153" s="7">
        <v>20.010000000000002</v>
      </c>
      <c r="E153" s="7"/>
      <c r="F153" s="6" t="str">
        <f>""</f>
        <v/>
      </c>
      <c r="G153" s="7"/>
      <c r="H153" s="8"/>
      <c r="I153" s="7">
        <v>11.14</v>
      </c>
      <c r="J153" s="9"/>
      <c r="K153" s="7"/>
      <c r="L153" s="6" t="str">
        <f>""</f>
        <v/>
      </c>
      <c r="M153" s="7"/>
      <c r="N153" s="6" t="str">
        <f>""</f>
        <v/>
      </c>
      <c r="O153" s="3"/>
    </row>
    <row r="154" spans="1:15" ht="30" customHeight="1" x14ac:dyDescent="0.25">
      <c r="A154" s="4" t="s">
        <v>6</v>
      </c>
      <c r="B154" s="10" t="str">
        <f>""</f>
        <v/>
      </c>
      <c r="C154" s="10" t="str">
        <f>"Итого по кандидату"</f>
        <v>Итого по кандидату</v>
      </c>
      <c r="D154" s="11">
        <v>20.010000000000002</v>
      </c>
      <c r="E154" s="11">
        <v>0</v>
      </c>
      <c r="F154" s="10" t="str">
        <f>""</f>
        <v/>
      </c>
      <c r="G154" s="11">
        <v>0</v>
      </c>
      <c r="H154" s="12"/>
      <c r="I154" s="11">
        <v>11.14</v>
      </c>
      <c r="J154" s="13"/>
      <c r="K154" s="11">
        <v>0</v>
      </c>
      <c r="L154" s="10" t="str">
        <f>""</f>
        <v/>
      </c>
      <c r="M154" s="11">
        <v>0</v>
      </c>
      <c r="N154" s="10" t="str">
        <f>""</f>
        <v/>
      </c>
      <c r="O154" s="3"/>
    </row>
    <row r="155" spans="1:15" ht="45" customHeight="1" x14ac:dyDescent="0.25">
      <c r="A155" s="5" t="s">
        <v>73</v>
      </c>
      <c r="B155" s="6" t="str">
        <f>"Округ №16 (№ 16)"</f>
        <v>Округ №16 (№ 16)</v>
      </c>
      <c r="C155" s="6" t="str">
        <f>"Ситников Иосиф Викторович"</f>
        <v>Ситников Иосиф Викторович</v>
      </c>
      <c r="D155" s="7">
        <v>1</v>
      </c>
      <c r="E155" s="7"/>
      <c r="F155" s="6" t="str">
        <f>""</f>
        <v/>
      </c>
      <c r="G155" s="7"/>
      <c r="H155" s="8"/>
      <c r="I155" s="7">
        <v>0</v>
      </c>
      <c r="J155" s="9"/>
      <c r="K155" s="7"/>
      <c r="L155" s="6" t="str">
        <f>""</f>
        <v/>
      </c>
      <c r="M155" s="7"/>
      <c r="N155" s="6" t="str">
        <f>""</f>
        <v/>
      </c>
      <c r="O155" s="3"/>
    </row>
    <row r="156" spans="1:15" ht="30" customHeight="1" x14ac:dyDescent="0.25">
      <c r="A156" s="4" t="s">
        <v>6</v>
      </c>
      <c r="B156" s="10" t="str">
        <f>""</f>
        <v/>
      </c>
      <c r="C156" s="10" t="str">
        <f>"Итого по кандидату"</f>
        <v>Итого по кандидату</v>
      </c>
      <c r="D156" s="11">
        <v>1</v>
      </c>
      <c r="E156" s="11">
        <v>0</v>
      </c>
      <c r="F156" s="10" t="str">
        <f>""</f>
        <v/>
      </c>
      <c r="G156" s="11">
        <v>0</v>
      </c>
      <c r="H156" s="12"/>
      <c r="I156" s="11">
        <v>0</v>
      </c>
      <c r="J156" s="13"/>
      <c r="K156" s="11">
        <v>0</v>
      </c>
      <c r="L156" s="10" t="str">
        <f>""</f>
        <v/>
      </c>
      <c r="M156" s="11">
        <v>0</v>
      </c>
      <c r="N156" s="10" t="str">
        <f>""</f>
        <v/>
      </c>
      <c r="O156" s="3"/>
    </row>
    <row r="157" spans="1:15" ht="60" customHeight="1" x14ac:dyDescent="0.25">
      <c r="A157" s="5" t="s">
        <v>74</v>
      </c>
      <c r="B157" s="6" t="str">
        <f>"Округ №16 (№ 16)"</f>
        <v>Округ №16 (№ 16)</v>
      </c>
      <c r="C157" s="6" t="str">
        <f>"Щепетинщиков Дмитрий Евгеньевич"</f>
        <v>Щепетинщиков Дмитрий Евгеньевич</v>
      </c>
      <c r="D157" s="7">
        <v>75</v>
      </c>
      <c r="E157" s="7"/>
      <c r="F157" s="6" t="str">
        <f>""</f>
        <v/>
      </c>
      <c r="G157" s="7"/>
      <c r="H157" s="8"/>
      <c r="I157" s="7">
        <v>12.56</v>
      </c>
      <c r="J157" s="9"/>
      <c r="K157" s="7"/>
      <c r="L157" s="6" t="str">
        <f>""</f>
        <v/>
      </c>
      <c r="M157" s="7"/>
      <c r="N157" s="6" t="str">
        <f>""</f>
        <v/>
      </c>
      <c r="O157" s="3"/>
    </row>
    <row r="158" spans="1:15" ht="30" customHeight="1" x14ac:dyDescent="0.25">
      <c r="A158" s="4" t="s">
        <v>6</v>
      </c>
      <c r="B158" s="10" t="str">
        <f>""</f>
        <v/>
      </c>
      <c r="C158" s="10" t="str">
        <f>"Итого по кандидату"</f>
        <v>Итого по кандидату</v>
      </c>
      <c r="D158" s="11">
        <v>75</v>
      </c>
      <c r="E158" s="11">
        <v>0</v>
      </c>
      <c r="F158" s="10" t="str">
        <f>""</f>
        <v/>
      </c>
      <c r="G158" s="11">
        <v>0</v>
      </c>
      <c r="H158" s="12"/>
      <c r="I158" s="11">
        <v>12.56</v>
      </c>
      <c r="J158" s="13"/>
      <c r="K158" s="11">
        <v>0</v>
      </c>
      <c r="L158" s="10" t="str">
        <f>""</f>
        <v/>
      </c>
      <c r="M158" s="11">
        <v>0</v>
      </c>
      <c r="N158" s="10" t="str">
        <f>""</f>
        <v/>
      </c>
      <c r="O158" s="3"/>
    </row>
    <row r="159" spans="1:15" ht="75" customHeight="1" x14ac:dyDescent="0.25">
      <c r="A159" s="4" t="s">
        <v>6</v>
      </c>
      <c r="B159" s="10" t="str">
        <f>""</f>
        <v/>
      </c>
      <c r="C159" s="10" t="str">
        <f>"Избирательный округ (Округ №16 (№ 16)), всего"</f>
        <v>Избирательный округ (Округ №16 (№ 16)), всего</v>
      </c>
      <c r="D159" s="11">
        <v>98.01</v>
      </c>
      <c r="E159" s="11">
        <v>0</v>
      </c>
      <c r="F159" s="10" t="str">
        <f>""</f>
        <v/>
      </c>
      <c r="G159" s="11">
        <v>0</v>
      </c>
      <c r="H159" s="12"/>
      <c r="I159" s="11">
        <v>25.7</v>
      </c>
      <c r="J159" s="13"/>
      <c r="K159" s="11">
        <v>0</v>
      </c>
      <c r="L159" s="10" t="str">
        <f>""</f>
        <v/>
      </c>
      <c r="M159" s="11">
        <v>0</v>
      </c>
      <c r="N159" s="10" t="str">
        <f>""</f>
        <v/>
      </c>
      <c r="O159" s="3"/>
    </row>
    <row r="160" spans="1:15" ht="60" customHeight="1" x14ac:dyDescent="0.25">
      <c r="A160" s="5" t="s">
        <v>75</v>
      </c>
      <c r="B160" s="6" t="str">
        <f>"Округ №17 (№ 17)"</f>
        <v>Округ №17 (№ 17)</v>
      </c>
      <c r="C160" s="6" t="str">
        <f>"Барановский Константин Николаевич"</f>
        <v>Барановский Константин Николаевич</v>
      </c>
      <c r="D160" s="7">
        <v>20</v>
      </c>
      <c r="E160" s="7"/>
      <c r="F160" s="6" t="str">
        <f>""</f>
        <v/>
      </c>
      <c r="G160" s="7"/>
      <c r="H160" s="8"/>
      <c r="I160" s="7">
        <v>11.15</v>
      </c>
      <c r="J160" s="9"/>
      <c r="K160" s="7"/>
      <c r="L160" s="6" t="str">
        <f>""</f>
        <v/>
      </c>
      <c r="M160" s="7"/>
      <c r="N160" s="6" t="str">
        <f>""</f>
        <v/>
      </c>
      <c r="O160" s="3"/>
    </row>
    <row r="161" spans="1:15" ht="30" customHeight="1" x14ac:dyDescent="0.25">
      <c r="A161" s="4" t="s">
        <v>6</v>
      </c>
      <c r="B161" s="10" t="str">
        <f>""</f>
        <v/>
      </c>
      <c r="C161" s="10" t="str">
        <f>"Итого по кандидату"</f>
        <v>Итого по кандидату</v>
      </c>
      <c r="D161" s="11">
        <v>20</v>
      </c>
      <c r="E161" s="11">
        <v>0</v>
      </c>
      <c r="F161" s="10" t="str">
        <f>""</f>
        <v/>
      </c>
      <c r="G161" s="11">
        <v>0</v>
      </c>
      <c r="H161" s="12"/>
      <c r="I161" s="11">
        <v>11.15</v>
      </c>
      <c r="J161" s="13"/>
      <c r="K161" s="11">
        <v>0</v>
      </c>
      <c r="L161" s="10" t="str">
        <f>""</f>
        <v/>
      </c>
      <c r="M161" s="11">
        <v>0</v>
      </c>
      <c r="N161" s="10" t="str">
        <f>""</f>
        <v/>
      </c>
      <c r="O161" s="3"/>
    </row>
    <row r="162" spans="1:15" ht="45" customHeight="1" x14ac:dyDescent="0.25">
      <c r="A162" s="5" t="s">
        <v>76</v>
      </c>
      <c r="B162" s="6" t="str">
        <f>"Округ №17 (№ 17)"</f>
        <v>Округ №17 (№ 17)</v>
      </c>
      <c r="C162" s="6" t="str">
        <f>"Панько Алексей Георгиевич"</f>
        <v>Панько Алексей Георгиевич</v>
      </c>
      <c r="D162" s="7">
        <v>59</v>
      </c>
      <c r="E162" s="7"/>
      <c r="F162" s="6" t="str">
        <f>""</f>
        <v/>
      </c>
      <c r="G162" s="7"/>
      <c r="H162" s="8"/>
      <c r="I162" s="7">
        <v>33.42</v>
      </c>
      <c r="J162" s="9"/>
      <c r="K162" s="7"/>
      <c r="L162" s="6" t="str">
        <f>""</f>
        <v/>
      </c>
      <c r="M162" s="7"/>
      <c r="N162" s="6" t="str">
        <f>""</f>
        <v/>
      </c>
      <c r="O162" s="3"/>
    </row>
    <row r="163" spans="1:15" ht="30" customHeight="1" x14ac:dyDescent="0.25">
      <c r="A163" s="4" t="s">
        <v>6</v>
      </c>
      <c r="B163" s="10" t="str">
        <f>""</f>
        <v/>
      </c>
      <c r="C163" s="10" t="str">
        <f>"Итого по кандидату"</f>
        <v>Итого по кандидату</v>
      </c>
      <c r="D163" s="11">
        <v>59</v>
      </c>
      <c r="E163" s="11">
        <v>0</v>
      </c>
      <c r="F163" s="10" t="str">
        <f>""</f>
        <v/>
      </c>
      <c r="G163" s="11">
        <v>0</v>
      </c>
      <c r="H163" s="12"/>
      <c r="I163" s="11">
        <v>33.42</v>
      </c>
      <c r="J163" s="13"/>
      <c r="K163" s="11">
        <v>0</v>
      </c>
      <c r="L163" s="10" t="str">
        <f>""</f>
        <v/>
      </c>
      <c r="M163" s="11">
        <v>0</v>
      </c>
      <c r="N163" s="10" t="str">
        <f>""</f>
        <v/>
      </c>
      <c r="O163" s="3"/>
    </row>
    <row r="164" spans="1:15" ht="45" customHeight="1" x14ac:dyDescent="0.25">
      <c r="A164" s="5" t="s">
        <v>77</v>
      </c>
      <c r="B164" s="6" t="str">
        <f>"Округ №17 (№ 17)"</f>
        <v>Округ №17 (№ 17)</v>
      </c>
      <c r="C164" s="6" t="str">
        <f>"Перетолчин Алексей Витальевич"</f>
        <v>Перетолчин Алексей Витальевич</v>
      </c>
      <c r="D164" s="7"/>
      <c r="E164" s="7"/>
      <c r="F164" s="6" t="str">
        <f>""</f>
        <v/>
      </c>
      <c r="G164" s="7"/>
      <c r="H164" s="8"/>
      <c r="I164" s="7"/>
      <c r="J164" s="9"/>
      <c r="K164" s="7"/>
      <c r="L164" s="6" t="str">
        <f>""</f>
        <v/>
      </c>
      <c r="M164" s="7"/>
      <c r="N164" s="6" t="str">
        <f>""</f>
        <v/>
      </c>
      <c r="O164" s="3"/>
    </row>
    <row r="165" spans="1:15" ht="30" customHeight="1" x14ac:dyDescent="0.25">
      <c r="A165" s="4" t="s">
        <v>6</v>
      </c>
      <c r="B165" s="10" t="str">
        <f>""</f>
        <v/>
      </c>
      <c r="C165" s="10" t="str">
        <f>"Итого по кандидату"</f>
        <v>Итого по кандидату</v>
      </c>
      <c r="D165" s="11">
        <v>0.5</v>
      </c>
      <c r="E165" s="11">
        <v>0</v>
      </c>
      <c r="F165" s="10" t="str">
        <f>""</f>
        <v/>
      </c>
      <c r="G165" s="11">
        <v>0</v>
      </c>
      <c r="H165" s="12"/>
      <c r="I165" s="11">
        <v>0.5</v>
      </c>
      <c r="J165" s="13"/>
      <c r="K165" s="11">
        <v>0</v>
      </c>
      <c r="L165" s="10" t="str">
        <f>""</f>
        <v/>
      </c>
      <c r="M165" s="11">
        <v>0</v>
      </c>
      <c r="N165" s="10" t="str">
        <f>""</f>
        <v/>
      </c>
      <c r="O165" s="3"/>
    </row>
    <row r="166" spans="1:15" ht="45" customHeight="1" x14ac:dyDescent="0.25">
      <c r="A166" s="5" t="s">
        <v>78</v>
      </c>
      <c r="B166" s="6" t="str">
        <f>"Округ №17 (№ 17)"</f>
        <v>Округ №17 (№ 17)</v>
      </c>
      <c r="C166" s="6" t="str">
        <f>"Перетолчин Алексей Витальевич"</f>
        <v>Перетолчин Алексей Витальевич</v>
      </c>
      <c r="D166" s="7"/>
      <c r="E166" s="7"/>
      <c r="F166" s="6" t="str">
        <f>""</f>
        <v/>
      </c>
      <c r="G166" s="7"/>
      <c r="H166" s="8"/>
      <c r="I166" s="7"/>
      <c r="J166" s="9"/>
      <c r="K166" s="7"/>
      <c r="L166" s="6" t="str">
        <f>""</f>
        <v/>
      </c>
      <c r="M166" s="7"/>
      <c r="N166" s="6" t="str">
        <f>""</f>
        <v/>
      </c>
      <c r="O166" s="3"/>
    </row>
    <row r="167" spans="1:15" ht="30" customHeight="1" x14ac:dyDescent="0.25">
      <c r="A167" s="4" t="s">
        <v>6</v>
      </c>
      <c r="B167" s="10" t="str">
        <f>""</f>
        <v/>
      </c>
      <c r="C167" s="10" t="str">
        <f>"Итого по кандидату"</f>
        <v>Итого по кандидату</v>
      </c>
      <c r="D167" s="11">
        <v>0.5</v>
      </c>
      <c r="E167" s="11">
        <v>0</v>
      </c>
      <c r="F167" s="10" t="str">
        <f>""</f>
        <v/>
      </c>
      <c r="G167" s="11">
        <v>0</v>
      </c>
      <c r="H167" s="12"/>
      <c r="I167" s="11">
        <v>0.5</v>
      </c>
      <c r="J167" s="13"/>
      <c r="K167" s="11">
        <v>0</v>
      </c>
      <c r="L167" s="10" t="str">
        <f>""</f>
        <v/>
      </c>
      <c r="M167" s="11">
        <v>0</v>
      </c>
      <c r="N167" s="10" t="str">
        <f>""</f>
        <v/>
      </c>
      <c r="O167" s="3"/>
    </row>
    <row r="168" spans="1:15" ht="60" customHeight="1" x14ac:dyDescent="0.25">
      <c r="A168" s="5" t="s">
        <v>79</v>
      </c>
      <c r="B168" s="6" t="str">
        <f>"Округ №17 (№ 17)"</f>
        <v>Округ №17 (№ 17)</v>
      </c>
      <c r="C168" s="6" t="str">
        <f>"Румянцев Андрей Александрович"</f>
        <v>Румянцев Андрей Александрович</v>
      </c>
      <c r="D168" s="7">
        <v>0.5</v>
      </c>
      <c r="E168" s="7"/>
      <c r="F168" s="6" t="str">
        <f>""</f>
        <v/>
      </c>
      <c r="G168" s="7"/>
      <c r="H168" s="8"/>
      <c r="I168" s="7">
        <v>0.5</v>
      </c>
      <c r="J168" s="9"/>
      <c r="K168" s="7"/>
      <c r="L168" s="6" t="str">
        <f>""</f>
        <v/>
      </c>
      <c r="M168" s="7"/>
      <c r="N168" s="6" t="str">
        <f>""</f>
        <v/>
      </c>
      <c r="O168" s="3"/>
    </row>
    <row r="169" spans="1:15" ht="30" customHeight="1" x14ac:dyDescent="0.25">
      <c r="A169" s="4" t="s">
        <v>6</v>
      </c>
      <c r="B169" s="10" t="str">
        <f>""</f>
        <v/>
      </c>
      <c r="C169" s="10" t="str">
        <f>"Итого по кандидату"</f>
        <v>Итого по кандидату</v>
      </c>
      <c r="D169" s="11">
        <v>0.5</v>
      </c>
      <c r="E169" s="11">
        <v>0</v>
      </c>
      <c r="F169" s="10" t="str">
        <f>""</f>
        <v/>
      </c>
      <c r="G169" s="11">
        <v>0</v>
      </c>
      <c r="H169" s="12"/>
      <c r="I169" s="11">
        <v>0.5</v>
      </c>
      <c r="J169" s="13"/>
      <c r="K169" s="11">
        <v>0</v>
      </c>
      <c r="L169" s="10" t="str">
        <f>""</f>
        <v/>
      </c>
      <c r="M169" s="11">
        <v>0</v>
      </c>
      <c r="N169" s="10" t="str">
        <f>""</f>
        <v/>
      </c>
      <c r="O169" s="3"/>
    </row>
    <row r="170" spans="1:15" ht="75" customHeight="1" x14ac:dyDescent="0.25">
      <c r="A170" s="4" t="s">
        <v>6</v>
      </c>
      <c r="B170" s="10" t="str">
        <f>""</f>
        <v/>
      </c>
      <c r="C170" s="10" t="str">
        <f>"Избирательный округ (Округ №17 (№ 17)), всего"</f>
        <v>Избирательный округ (Округ №17 (№ 17)), всего</v>
      </c>
      <c r="D170" s="11">
        <v>80.5</v>
      </c>
      <c r="E170" s="11">
        <v>0</v>
      </c>
      <c r="F170" s="10" t="str">
        <f>""</f>
        <v/>
      </c>
      <c r="G170" s="11">
        <v>0</v>
      </c>
      <c r="H170" s="12"/>
      <c r="I170" s="11">
        <v>46.07</v>
      </c>
      <c r="J170" s="13"/>
      <c r="K170" s="11">
        <v>0</v>
      </c>
      <c r="L170" s="10" t="str">
        <f>""</f>
        <v/>
      </c>
      <c r="M170" s="11">
        <v>0</v>
      </c>
      <c r="N170" s="10" t="str">
        <f>""</f>
        <v/>
      </c>
      <c r="O170" s="3"/>
    </row>
    <row r="171" spans="1:15" ht="45" customHeight="1" x14ac:dyDescent="0.25">
      <c r="A171" s="5" t="s">
        <v>80</v>
      </c>
      <c r="B171" s="6" t="str">
        <f>"Округ №18 (№ 18)"</f>
        <v>Округ №18 (№ 18)</v>
      </c>
      <c r="C171" s="6" t="str">
        <f>"Бубнов Антон Николаевич"</f>
        <v>Бубнов Антон Николаевич</v>
      </c>
      <c r="D171" s="7">
        <v>60</v>
      </c>
      <c r="E171" s="7"/>
      <c r="F171" s="6" t="str">
        <f>""</f>
        <v/>
      </c>
      <c r="G171" s="7"/>
      <c r="H171" s="8"/>
      <c r="I171" s="7">
        <v>39.020000000000003</v>
      </c>
      <c r="J171" s="9"/>
      <c r="K171" s="7"/>
      <c r="L171" s="6" t="str">
        <f>""</f>
        <v/>
      </c>
      <c r="M171" s="7"/>
      <c r="N171" s="6" t="str">
        <f>""</f>
        <v/>
      </c>
      <c r="O171" s="3"/>
    </row>
    <row r="172" spans="1:15" ht="30" customHeight="1" x14ac:dyDescent="0.25">
      <c r="A172" s="4" t="s">
        <v>6</v>
      </c>
      <c r="B172" s="10" t="str">
        <f>""</f>
        <v/>
      </c>
      <c r="C172" s="10" t="str">
        <f>"Итого по кандидату"</f>
        <v>Итого по кандидату</v>
      </c>
      <c r="D172" s="11">
        <v>60</v>
      </c>
      <c r="E172" s="11">
        <v>0</v>
      </c>
      <c r="F172" s="10" t="str">
        <f>""</f>
        <v/>
      </c>
      <c r="G172" s="11">
        <v>0</v>
      </c>
      <c r="H172" s="12"/>
      <c r="I172" s="11">
        <v>39.020000000000003</v>
      </c>
      <c r="J172" s="13"/>
      <c r="K172" s="11">
        <v>0</v>
      </c>
      <c r="L172" s="10" t="str">
        <f>""</f>
        <v/>
      </c>
      <c r="M172" s="11">
        <v>0</v>
      </c>
      <c r="N172" s="10" t="str">
        <f>""</f>
        <v/>
      </c>
      <c r="O172" s="3"/>
    </row>
    <row r="173" spans="1:15" ht="45" customHeight="1" x14ac:dyDescent="0.25">
      <c r="A173" s="5" t="s">
        <v>81</v>
      </c>
      <c r="B173" s="6" t="str">
        <f>"Округ №18 (№ 18)"</f>
        <v>Округ №18 (№ 18)</v>
      </c>
      <c r="C173" s="6" t="str">
        <f>"Бубнов Вячеслав Николаевич"</f>
        <v>Бубнов Вячеслав Николаевич</v>
      </c>
      <c r="D173" s="7">
        <v>1</v>
      </c>
      <c r="E173" s="7"/>
      <c r="F173" s="6" t="str">
        <f>""</f>
        <v/>
      </c>
      <c r="G173" s="7"/>
      <c r="H173" s="8"/>
      <c r="I173" s="7">
        <v>0</v>
      </c>
      <c r="J173" s="9"/>
      <c r="K173" s="7"/>
      <c r="L173" s="6" t="str">
        <f>""</f>
        <v/>
      </c>
      <c r="M173" s="7"/>
      <c r="N173" s="6" t="str">
        <f>""</f>
        <v/>
      </c>
      <c r="O173" s="3"/>
    </row>
    <row r="174" spans="1:15" ht="30" customHeight="1" x14ac:dyDescent="0.25">
      <c r="A174" s="4" t="s">
        <v>6</v>
      </c>
      <c r="B174" s="10" t="str">
        <f>""</f>
        <v/>
      </c>
      <c r="C174" s="10" t="str">
        <f>"Итого по кандидату"</f>
        <v>Итого по кандидату</v>
      </c>
      <c r="D174" s="11">
        <v>1</v>
      </c>
      <c r="E174" s="11">
        <v>0</v>
      </c>
      <c r="F174" s="10" t="str">
        <f>""</f>
        <v/>
      </c>
      <c r="G174" s="11">
        <v>0</v>
      </c>
      <c r="H174" s="12"/>
      <c r="I174" s="11">
        <v>0</v>
      </c>
      <c r="J174" s="13"/>
      <c r="K174" s="11">
        <v>0</v>
      </c>
      <c r="L174" s="10" t="str">
        <f>""</f>
        <v/>
      </c>
      <c r="M174" s="11">
        <v>0</v>
      </c>
      <c r="N174" s="10" t="str">
        <f>""</f>
        <v/>
      </c>
      <c r="O174" s="3"/>
    </row>
    <row r="175" spans="1:15" ht="45" customHeight="1" x14ac:dyDescent="0.25">
      <c r="A175" s="5" t="s">
        <v>82</v>
      </c>
      <c r="B175" s="6" t="str">
        <f>"Округ №18 (№ 18)"</f>
        <v>Округ №18 (№ 18)</v>
      </c>
      <c r="C175" s="6" t="str">
        <f>"Шеремет Екатерина Алексеевна"</f>
        <v>Шеремет Екатерина Алексеевна</v>
      </c>
      <c r="D175" s="7">
        <v>0.5</v>
      </c>
      <c r="E175" s="7"/>
      <c r="F175" s="6" t="str">
        <f>""</f>
        <v/>
      </c>
      <c r="G175" s="7"/>
      <c r="H175" s="8"/>
      <c r="I175" s="7">
        <v>0.5</v>
      </c>
      <c r="J175" s="9"/>
      <c r="K175" s="7"/>
      <c r="L175" s="6" t="str">
        <f>""</f>
        <v/>
      </c>
      <c r="M175" s="7"/>
      <c r="N175" s="6" t="str">
        <f>""</f>
        <v/>
      </c>
      <c r="O175" s="3"/>
    </row>
    <row r="176" spans="1:15" ht="30" customHeight="1" x14ac:dyDescent="0.25">
      <c r="A176" s="4" t="s">
        <v>6</v>
      </c>
      <c r="B176" s="10" t="str">
        <f>""</f>
        <v/>
      </c>
      <c r="C176" s="10" t="str">
        <f>"Итого по кандидату"</f>
        <v>Итого по кандидату</v>
      </c>
      <c r="D176" s="11">
        <v>0.5</v>
      </c>
      <c r="E176" s="11">
        <v>0</v>
      </c>
      <c r="F176" s="10" t="str">
        <f>""</f>
        <v/>
      </c>
      <c r="G176" s="11">
        <v>0</v>
      </c>
      <c r="H176" s="12"/>
      <c r="I176" s="11">
        <v>0.5</v>
      </c>
      <c r="J176" s="13"/>
      <c r="K176" s="11">
        <v>0</v>
      </c>
      <c r="L176" s="10" t="str">
        <f>""</f>
        <v/>
      </c>
      <c r="M176" s="11">
        <v>0</v>
      </c>
      <c r="N176" s="10" t="str">
        <f>""</f>
        <v/>
      </c>
      <c r="O176" s="3"/>
    </row>
    <row r="177" spans="1:15" ht="75" customHeight="1" x14ac:dyDescent="0.25">
      <c r="A177" s="4" t="s">
        <v>6</v>
      </c>
      <c r="B177" s="10" t="str">
        <f>""</f>
        <v/>
      </c>
      <c r="C177" s="10" t="str">
        <f>"Избирательный округ (Округ №18 (№ 18)), всего"</f>
        <v>Избирательный округ (Округ №18 (№ 18)), всего</v>
      </c>
      <c r="D177" s="11">
        <v>61.5</v>
      </c>
      <c r="E177" s="11">
        <v>0</v>
      </c>
      <c r="F177" s="10" t="str">
        <f>""</f>
        <v/>
      </c>
      <c r="G177" s="11">
        <v>0</v>
      </c>
      <c r="H177" s="12"/>
      <c r="I177" s="11">
        <v>39.520000000000003</v>
      </c>
      <c r="J177" s="13"/>
      <c r="K177" s="11">
        <v>0</v>
      </c>
      <c r="L177" s="10" t="str">
        <f>""</f>
        <v/>
      </c>
      <c r="M177" s="11">
        <v>0</v>
      </c>
      <c r="N177" s="10" t="str">
        <f>""</f>
        <v/>
      </c>
      <c r="O177" s="3"/>
    </row>
    <row r="178" spans="1:15" ht="60" customHeight="1" x14ac:dyDescent="0.25">
      <c r="A178" s="5" t="s">
        <v>83</v>
      </c>
      <c r="B178" s="6" t="str">
        <f>"Округ №19 (№ 19)"</f>
        <v>Округ №19 (№ 19)</v>
      </c>
      <c r="C178" s="6" t="str">
        <f>"Красноштанов Михаил Владимирович"</f>
        <v>Красноштанов Михаил Владимирович</v>
      </c>
      <c r="D178" s="7">
        <v>60</v>
      </c>
      <c r="E178" s="7"/>
      <c r="F178" s="6" t="str">
        <f>""</f>
        <v/>
      </c>
      <c r="G178" s="7"/>
      <c r="H178" s="8"/>
      <c r="I178" s="7">
        <v>40.39</v>
      </c>
      <c r="J178" s="9"/>
      <c r="K178" s="7"/>
      <c r="L178" s="6" t="str">
        <f>""</f>
        <v/>
      </c>
      <c r="M178" s="7"/>
      <c r="N178" s="6" t="str">
        <f>""</f>
        <v/>
      </c>
      <c r="O178" s="3"/>
    </row>
    <row r="179" spans="1:15" ht="30" customHeight="1" x14ac:dyDescent="0.25">
      <c r="A179" s="4" t="s">
        <v>6</v>
      </c>
      <c r="B179" s="10" t="str">
        <f>""</f>
        <v/>
      </c>
      <c r="C179" s="10" t="str">
        <f>"Итого по кандидату"</f>
        <v>Итого по кандидату</v>
      </c>
      <c r="D179" s="11">
        <v>60</v>
      </c>
      <c r="E179" s="11">
        <v>0</v>
      </c>
      <c r="F179" s="10" t="str">
        <f>""</f>
        <v/>
      </c>
      <c r="G179" s="11">
        <v>0</v>
      </c>
      <c r="H179" s="12"/>
      <c r="I179" s="11">
        <v>40.39</v>
      </c>
      <c r="J179" s="13"/>
      <c r="K179" s="11">
        <v>0</v>
      </c>
      <c r="L179" s="10" t="str">
        <f>""</f>
        <v/>
      </c>
      <c r="M179" s="11">
        <v>0</v>
      </c>
      <c r="N179" s="10" t="str">
        <f>""</f>
        <v/>
      </c>
      <c r="O179" s="3"/>
    </row>
    <row r="180" spans="1:15" ht="45" customHeight="1" x14ac:dyDescent="0.25">
      <c r="A180" s="5" t="s">
        <v>84</v>
      </c>
      <c r="B180" s="6" t="str">
        <f>"Округ №19 (№ 19)"</f>
        <v>Округ №19 (№ 19)</v>
      </c>
      <c r="C180" s="6" t="str">
        <f>"Меньшов Николай Викторович"</f>
        <v>Меньшов Николай Викторович</v>
      </c>
      <c r="D180" s="7">
        <v>0.5</v>
      </c>
      <c r="E180" s="7"/>
      <c r="F180" s="6" t="str">
        <f>""</f>
        <v/>
      </c>
      <c r="G180" s="7"/>
      <c r="H180" s="8"/>
      <c r="I180" s="7">
        <v>0.5</v>
      </c>
      <c r="J180" s="9"/>
      <c r="K180" s="7"/>
      <c r="L180" s="6" t="str">
        <f>""</f>
        <v/>
      </c>
      <c r="M180" s="7"/>
      <c r="N180" s="6" t="str">
        <f>""</f>
        <v/>
      </c>
      <c r="O180" s="3"/>
    </row>
    <row r="181" spans="1:15" ht="30" customHeight="1" x14ac:dyDescent="0.25">
      <c r="A181" s="4" t="s">
        <v>6</v>
      </c>
      <c r="B181" s="10" t="str">
        <f>""</f>
        <v/>
      </c>
      <c r="C181" s="10" t="str">
        <f>"Итого по кандидату"</f>
        <v>Итого по кандидату</v>
      </c>
      <c r="D181" s="11">
        <v>0.5</v>
      </c>
      <c r="E181" s="11">
        <v>0</v>
      </c>
      <c r="F181" s="10" t="str">
        <f>""</f>
        <v/>
      </c>
      <c r="G181" s="11">
        <v>0</v>
      </c>
      <c r="H181" s="12"/>
      <c r="I181" s="11">
        <v>0.5</v>
      </c>
      <c r="J181" s="13"/>
      <c r="K181" s="11">
        <v>0</v>
      </c>
      <c r="L181" s="10" t="str">
        <f>""</f>
        <v/>
      </c>
      <c r="M181" s="11">
        <v>0</v>
      </c>
      <c r="N181" s="10" t="str">
        <f>""</f>
        <v/>
      </c>
      <c r="O181" s="3"/>
    </row>
    <row r="182" spans="1:15" ht="30" customHeight="1" x14ac:dyDescent="0.25">
      <c r="A182" s="5" t="s">
        <v>85</v>
      </c>
      <c r="B182" s="6" t="str">
        <f>"Округ №19 (№ 19)"</f>
        <v>Округ №19 (№ 19)</v>
      </c>
      <c r="C182" s="6" t="str">
        <f>"Шелег Илья Леонидович"</f>
        <v>Шелег Илья Леонидович</v>
      </c>
      <c r="D182" s="7">
        <v>75</v>
      </c>
      <c r="E182" s="7"/>
      <c r="F182" s="6" t="str">
        <f>""</f>
        <v/>
      </c>
      <c r="G182" s="7"/>
      <c r="H182" s="8"/>
      <c r="I182" s="7">
        <v>2.5299999999999998</v>
      </c>
      <c r="J182" s="9"/>
      <c r="K182" s="7"/>
      <c r="L182" s="6" t="str">
        <f>""</f>
        <v/>
      </c>
      <c r="M182" s="7"/>
      <c r="N182" s="6" t="str">
        <f>""</f>
        <v/>
      </c>
      <c r="O182" s="3"/>
    </row>
    <row r="183" spans="1:15" ht="30" customHeight="1" x14ac:dyDescent="0.25">
      <c r="A183" s="4" t="s">
        <v>6</v>
      </c>
      <c r="B183" s="10" t="str">
        <f>""</f>
        <v/>
      </c>
      <c r="C183" s="10" t="str">
        <f>"Итого по кандидату"</f>
        <v>Итого по кандидату</v>
      </c>
      <c r="D183" s="11">
        <v>75</v>
      </c>
      <c r="E183" s="11">
        <v>0</v>
      </c>
      <c r="F183" s="10" t="str">
        <f>""</f>
        <v/>
      </c>
      <c r="G183" s="11">
        <v>0</v>
      </c>
      <c r="H183" s="12"/>
      <c r="I183" s="11">
        <v>2.5299999999999998</v>
      </c>
      <c r="J183" s="13"/>
      <c r="K183" s="11">
        <v>0</v>
      </c>
      <c r="L183" s="10" t="str">
        <f>""</f>
        <v/>
      </c>
      <c r="M183" s="11">
        <v>0</v>
      </c>
      <c r="N183" s="10" t="str">
        <f>""</f>
        <v/>
      </c>
      <c r="O183" s="3"/>
    </row>
    <row r="184" spans="1:15" ht="75" customHeight="1" x14ac:dyDescent="0.25">
      <c r="A184" s="4" t="s">
        <v>6</v>
      </c>
      <c r="B184" s="10" t="str">
        <f>""</f>
        <v/>
      </c>
      <c r="C184" s="10" t="str">
        <f>"Избирательный округ (Округ №19 (№ 19)), всего"</f>
        <v>Избирательный округ (Округ №19 (№ 19)), всего</v>
      </c>
      <c r="D184" s="11">
        <v>135.5</v>
      </c>
      <c r="E184" s="11">
        <v>0</v>
      </c>
      <c r="F184" s="10" t="str">
        <f>""</f>
        <v/>
      </c>
      <c r="G184" s="11">
        <v>0</v>
      </c>
      <c r="H184" s="12"/>
      <c r="I184" s="11">
        <v>43.41</v>
      </c>
      <c r="J184" s="13"/>
      <c r="K184" s="11">
        <v>0</v>
      </c>
      <c r="L184" s="10" t="str">
        <f>""</f>
        <v/>
      </c>
      <c r="M184" s="11">
        <v>0</v>
      </c>
      <c r="N184" s="10" t="str">
        <f>""</f>
        <v/>
      </c>
      <c r="O184" s="3"/>
    </row>
    <row r="185" spans="1:15" ht="45" customHeight="1" x14ac:dyDescent="0.25">
      <c r="A185" s="5" t="s">
        <v>86</v>
      </c>
      <c r="B185" s="6" t="str">
        <f>"Округ №20 (№ 20)"</f>
        <v>Округ №20 (№ 20)</v>
      </c>
      <c r="C185" s="6" t="str">
        <f>"Абрамов Даниил Сергеевич"</f>
        <v>Абрамов Даниил Сергеевич</v>
      </c>
      <c r="D185" s="7">
        <v>0.5</v>
      </c>
      <c r="E185" s="7"/>
      <c r="F185" s="6" t="str">
        <f>""</f>
        <v/>
      </c>
      <c r="G185" s="7"/>
      <c r="H185" s="8"/>
      <c r="I185" s="7">
        <v>0</v>
      </c>
      <c r="J185" s="9"/>
      <c r="K185" s="7"/>
      <c r="L185" s="6" t="str">
        <f>""</f>
        <v/>
      </c>
      <c r="M185" s="7"/>
      <c r="N185" s="6" t="str">
        <f>""</f>
        <v/>
      </c>
      <c r="O185" s="3"/>
    </row>
    <row r="186" spans="1:15" ht="30" customHeight="1" x14ac:dyDescent="0.25">
      <c r="A186" s="4" t="s">
        <v>6</v>
      </c>
      <c r="B186" s="10" t="str">
        <f>""</f>
        <v/>
      </c>
      <c r="C186" s="10" t="str">
        <f>"Итого по кандидату"</f>
        <v>Итого по кандидату</v>
      </c>
      <c r="D186" s="11">
        <v>0.5</v>
      </c>
      <c r="E186" s="11">
        <v>0</v>
      </c>
      <c r="F186" s="10" t="str">
        <f>""</f>
        <v/>
      </c>
      <c r="G186" s="11">
        <v>0</v>
      </c>
      <c r="H186" s="12"/>
      <c r="I186" s="11">
        <v>0</v>
      </c>
      <c r="J186" s="13"/>
      <c r="K186" s="11">
        <v>0</v>
      </c>
      <c r="L186" s="10" t="str">
        <f>""</f>
        <v/>
      </c>
      <c r="M186" s="11">
        <v>0</v>
      </c>
      <c r="N186" s="10" t="str">
        <f>""</f>
        <v/>
      </c>
      <c r="O186" s="3"/>
    </row>
    <row r="187" spans="1:15" ht="405" customHeight="1" x14ac:dyDescent="0.25">
      <c r="A187" s="5" t="s">
        <v>87</v>
      </c>
      <c r="B187" s="6" t="str">
        <f>"Округ №20 (№ 20)"</f>
        <v>Округ №20 (№ 20)</v>
      </c>
      <c r="C187" s="6" t="str">
        <f>"Егоров Руслан Юрьевич"</f>
        <v>Егоров Руслан Юрьевич</v>
      </c>
      <c r="D187" s="7">
        <v>200</v>
      </c>
      <c r="E187" s="7"/>
      <c r="F187" s="6" t="str">
        <f>""</f>
        <v/>
      </c>
      <c r="G187" s="7"/>
      <c r="H187" s="8"/>
      <c r="I187" s="7">
        <v>191.15</v>
      </c>
      <c r="J187" s="9" t="s">
        <v>88</v>
      </c>
      <c r="K187" s="7">
        <v>133.5</v>
      </c>
      <c r="L187" s="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87" s="7"/>
      <c r="N187" s="6" t="str">
        <f>""</f>
        <v/>
      </c>
      <c r="O187" s="3"/>
    </row>
    <row r="188" spans="1:15" ht="30" customHeight="1" x14ac:dyDescent="0.25">
      <c r="A188" s="4" t="s">
        <v>6</v>
      </c>
      <c r="B188" s="10" t="str">
        <f>""</f>
        <v/>
      </c>
      <c r="C188" s="10" t="str">
        <f>"Итого по кандидату"</f>
        <v>Итого по кандидату</v>
      </c>
      <c r="D188" s="11">
        <v>200</v>
      </c>
      <c r="E188" s="11">
        <v>0</v>
      </c>
      <c r="F188" s="10" t="str">
        <f>""</f>
        <v/>
      </c>
      <c r="G188" s="11">
        <v>0</v>
      </c>
      <c r="H188" s="12"/>
      <c r="I188" s="11">
        <v>191.15</v>
      </c>
      <c r="J188" s="13"/>
      <c r="K188" s="11">
        <v>133.5</v>
      </c>
      <c r="L188" s="10" t="str">
        <f>""</f>
        <v/>
      </c>
      <c r="M188" s="11">
        <v>0</v>
      </c>
      <c r="N188" s="10" t="str">
        <f>""</f>
        <v/>
      </c>
      <c r="O188" s="1"/>
    </row>
    <row r="189" spans="1:15" ht="45" customHeight="1" x14ac:dyDescent="0.25">
      <c r="A189" s="5" t="s">
        <v>89</v>
      </c>
      <c r="B189" s="6" t="str">
        <f>"Округ №20 (№ 20)"</f>
        <v>Округ №20 (№ 20)</v>
      </c>
      <c r="C189" s="6" t="str">
        <f>"Сафонова Надежда Игнатьевна"</f>
        <v>Сафонова Надежда Игнатьевна</v>
      </c>
      <c r="D189" s="7">
        <v>0.5</v>
      </c>
      <c r="E189" s="7"/>
      <c r="F189" s="6" t="str">
        <f>""</f>
        <v/>
      </c>
      <c r="G189" s="7"/>
      <c r="H189" s="8"/>
      <c r="I189" s="7">
        <v>0.5</v>
      </c>
      <c r="J189" s="9"/>
      <c r="K189" s="7"/>
      <c r="L189" s="6" t="str">
        <f>""</f>
        <v/>
      </c>
      <c r="M189" s="7"/>
      <c r="N189" s="6" t="str">
        <f>""</f>
        <v/>
      </c>
      <c r="O189" s="3"/>
    </row>
    <row r="190" spans="1:15" ht="30" customHeight="1" x14ac:dyDescent="0.25">
      <c r="A190" s="4" t="s">
        <v>6</v>
      </c>
      <c r="B190" s="10" t="str">
        <f>""</f>
        <v/>
      </c>
      <c r="C190" s="10" t="str">
        <f>"Итого по кандидату"</f>
        <v>Итого по кандидату</v>
      </c>
      <c r="D190" s="11">
        <v>0.5</v>
      </c>
      <c r="E190" s="11">
        <v>0</v>
      </c>
      <c r="F190" s="10" t="str">
        <f>""</f>
        <v/>
      </c>
      <c r="G190" s="11">
        <v>0</v>
      </c>
      <c r="H190" s="12"/>
      <c r="I190" s="11">
        <v>0.5</v>
      </c>
      <c r="J190" s="13"/>
      <c r="K190" s="11">
        <v>0</v>
      </c>
      <c r="L190" s="10" t="str">
        <f>""</f>
        <v/>
      </c>
      <c r="M190" s="11">
        <v>0</v>
      </c>
      <c r="N190" s="10" t="str">
        <f>""</f>
        <v/>
      </c>
      <c r="O190" s="3"/>
    </row>
    <row r="191" spans="1:15" ht="75" customHeight="1" x14ac:dyDescent="0.25">
      <c r="A191" s="4" t="s">
        <v>6</v>
      </c>
      <c r="B191" s="10" t="str">
        <f>""</f>
        <v/>
      </c>
      <c r="C191" s="10" t="str">
        <f>"Избирательный округ (Округ №20 (№ 20)), всего"</f>
        <v>Избирательный округ (Округ №20 (№ 20)), всего</v>
      </c>
      <c r="D191" s="11">
        <v>201</v>
      </c>
      <c r="E191" s="11">
        <v>0</v>
      </c>
      <c r="F191" s="10" t="str">
        <f>""</f>
        <v/>
      </c>
      <c r="G191" s="11">
        <v>0</v>
      </c>
      <c r="H191" s="12"/>
      <c r="I191" s="11">
        <v>191.65</v>
      </c>
      <c r="J191" s="13"/>
      <c r="K191" s="11">
        <v>133.5</v>
      </c>
      <c r="L191" s="10" t="str">
        <f>""</f>
        <v/>
      </c>
      <c r="M191" s="11">
        <v>0</v>
      </c>
      <c r="N191" s="10" t="str">
        <f>""</f>
        <v/>
      </c>
      <c r="O191" s="3"/>
    </row>
    <row r="192" spans="1:15" ht="60" customHeight="1" x14ac:dyDescent="0.25">
      <c r="A192" s="5" t="s">
        <v>90</v>
      </c>
      <c r="B192" s="6" t="str">
        <f>"Округ №21 (№ 21)"</f>
        <v>Округ №21 (№ 21)</v>
      </c>
      <c r="C192" s="6" t="str">
        <f>"Быков Денис Александрович"</f>
        <v>Быков Денис Александрович</v>
      </c>
      <c r="D192" s="7">
        <v>0.5</v>
      </c>
      <c r="E192" s="7"/>
      <c r="F192" s="6" t="str">
        <f>""</f>
        <v/>
      </c>
      <c r="G192" s="7"/>
      <c r="H192" s="8"/>
      <c r="I192" s="7">
        <v>0.5</v>
      </c>
      <c r="J192" s="9"/>
      <c r="K192" s="7"/>
      <c r="L192" s="6" t="str">
        <f>""</f>
        <v/>
      </c>
      <c r="M192" s="7"/>
      <c r="N192" s="6" t="str">
        <f>""</f>
        <v/>
      </c>
      <c r="O192" s="3"/>
    </row>
    <row r="193" spans="1:15" ht="30" customHeight="1" x14ac:dyDescent="0.25">
      <c r="A193" s="4" t="s">
        <v>6</v>
      </c>
      <c r="B193" s="10" t="str">
        <f>""</f>
        <v/>
      </c>
      <c r="C193" s="10" t="str">
        <f>"Итого по кандидату"</f>
        <v>Итого по кандидату</v>
      </c>
      <c r="D193" s="11">
        <v>0.5</v>
      </c>
      <c r="E193" s="11">
        <v>0</v>
      </c>
      <c r="F193" s="10" t="str">
        <f>""</f>
        <v/>
      </c>
      <c r="G193" s="11">
        <v>0</v>
      </c>
      <c r="H193" s="12"/>
      <c r="I193" s="11">
        <v>0.5</v>
      </c>
      <c r="J193" s="13"/>
      <c r="K193" s="11">
        <v>0</v>
      </c>
      <c r="L193" s="10" t="str">
        <f>""</f>
        <v/>
      </c>
      <c r="M193" s="11">
        <v>0</v>
      </c>
      <c r="N193" s="10" t="str">
        <f>""</f>
        <v/>
      </c>
      <c r="O193" s="3"/>
    </row>
    <row r="194" spans="1:15" ht="60" customHeight="1" x14ac:dyDescent="0.25">
      <c r="A194" s="5" t="s">
        <v>91</v>
      </c>
      <c r="B194" s="6" t="str">
        <f>"Округ №21 (№ 21)"</f>
        <v>Округ №21 (№ 21)</v>
      </c>
      <c r="C194" s="6" t="str">
        <f>"Новокрещенов Андрей Александрович"</f>
        <v>Новокрещенов Андрей Александрович</v>
      </c>
      <c r="D194" s="7">
        <v>28.4</v>
      </c>
      <c r="E194" s="7"/>
      <c r="F194" s="6" t="str">
        <f>""</f>
        <v/>
      </c>
      <c r="G194" s="7"/>
      <c r="H194" s="8"/>
      <c r="I194" s="7">
        <v>11.5</v>
      </c>
      <c r="J194" s="9"/>
      <c r="K194" s="7"/>
      <c r="L194" s="6" t="str">
        <f>""</f>
        <v/>
      </c>
      <c r="M194" s="7"/>
      <c r="N194" s="6" t="str">
        <f>""</f>
        <v/>
      </c>
      <c r="O194" s="3"/>
    </row>
    <row r="195" spans="1:15" ht="30" customHeight="1" x14ac:dyDescent="0.25">
      <c r="A195" s="4" t="s">
        <v>6</v>
      </c>
      <c r="B195" s="10" t="str">
        <f>""</f>
        <v/>
      </c>
      <c r="C195" s="10" t="str">
        <f>"Итого по кандидату"</f>
        <v>Итого по кандидату</v>
      </c>
      <c r="D195" s="11">
        <v>28.4</v>
      </c>
      <c r="E195" s="11">
        <v>0</v>
      </c>
      <c r="F195" s="10" t="str">
        <f>""</f>
        <v/>
      </c>
      <c r="G195" s="11">
        <v>0</v>
      </c>
      <c r="H195" s="12"/>
      <c r="I195" s="11">
        <v>11.5</v>
      </c>
      <c r="J195" s="13"/>
      <c r="K195" s="11">
        <v>0</v>
      </c>
      <c r="L195" s="10" t="str">
        <f>""</f>
        <v/>
      </c>
      <c r="M195" s="11">
        <v>0</v>
      </c>
      <c r="N195" s="10" t="str">
        <f>""</f>
        <v/>
      </c>
      <c r="O195" s="3"/>
    </row>
    <row r="196" spans="1:15" ht="45" customHeight="1" x14ac:dyDescent="0.25">
      <c r="A196" s="5" t="s">
        <v>92</v>
      </c>
      <c r="B196" s="6" t="str">
        <f>"Округ №21 (№ 21)"</f>
        <v>Округ №21 (№ 21)</v>
      </c>
      <c r="C196" s="6" t="str">
        <f>"Шумейко Евгений Викторович"</f>
        <v>Шумейко Евгений Викторович</v>
      </c>
      <c r="D196" s="7">
        <v>75</v>
      </c>
      <c r="E196" s="7"/>
      <c r="F196" s="6" t="str">
        <f>""</f>
        <v/>
      </c>
      <c r="G196" s="7"/>
      <c r="H196" s="8"/>
      <c r="I196" s="7">
        <v>11.33</v>
      </c>
      <c r="J196" s="9"/>
      <c r="K196" s="7"/>
      <c r="L196" s="6" t="str">
        <f>""</f>
        <v/>
      </c>
      <c r="M196" s="7"/>
      <c r="N196" s="6" t="str">
        <f>""</f>
        <v/>
      </c>
      <c r="O196" s="3"/>
    </row>
    <row r="197" spans="1:15" ht="30" customHeight="1" x14ac:dyDescent="0.25">
      <c r="A197" s="4" t="s">
        <v>6</v>
      </c>
      <c r="B197" s="10" t="str">
        <f>""</f>
        <v/>
      </c>
      <c r="C197" s="10" t="str">
        <f>"Итого по кандидату"</f>
        <v>Итого по кандидату</v>
      </c>
      <c r="D197" s="11">
        <v>75</v>
      </c>
      <c r="E197" s="11">
        <v>0</v>
      </c>
      <c r="F197" s="10" t="str">
        <f>""</f>
        <v/>
      </c>
      <c r="G197" s="11">
        <v>0</v>
      </c>
      <c r="H197" s="12"/>
      <c r="I197" s="11">
        <v>11.33</v>
      </c>
      <c r="J197" s="13"/>
      <c r="K197" s="11">
        <v>0</v>
      </c>
      <c r="L197" s="10" t="str">
        <f>""</f>
        <v/>
      </c>
      <c r="M197" s="11">
        <v>0</v>
      </c>
      <c r="N197" s="10" t="str">
        <f>""</f>
        <v/>
      </c>
      <c r="O197" s="3"/>
    </row>
    <row r="198" spans="1:15" ht="75" customHeight="1" x14ac:dyDescent="0.25">
      <c r="A198" s="4" t="s">
        <v>6</v>
      </c>
      <c r="B198" s="10" t="str">
        <f>""</f>
        <v/>
      </c>
      <c r="C198" s="10" t="str">
        <f>"Избирательный округ (Округ №21 (№ 21)), всего"</f>
        <v>Избирательный округ (Округ №21 (№ 21)), всего</v>
      </c>
      <c r="D198" s="11">
        <v>103.9</v>
      </c>
      <c r="E198" s="11">
        <v>0</v>
      </c>
      <c r="F198" s="10" t="str">
        <f>""</f>
        <v/>
      </c>
      <c r="G198" s="11">
        <v>0</v>
      </c>
      <c r="H198" s="12"/>
      <c r="I198" s="11">
        <v>23.33</v>
      </c>
      <c r="J198" s="13"/>
      <c r="K198" s="11">
        <v>0</v>
      </c>
      <c r="L198" s="10" t="str">
        <f>""</f>
        <v/>
      </c>
      <c r="M198" s="11">
        <v>0</v>
      </c>
      <c r="N198" s="10" t="str">
        <f>""</f>
        <v/>
      </c>
      <c r="O198" s="3"/>
    </row>
    <row r="199" spans="1:15" ht="45" customHeight="1" x14ac:dyDescent="0.25">
      <c r="A199" s="5" t="s">
        <v>93</v>
      </c>
      <c r="B199" s="6" t="str">
        <f>"Округ №22 (№ 22)"</f>
        <v>Округ №22 (№ 22)</v>
      </c>
      <c r="C199" s="6" t="str">
        <f>"Байбеков Роман Рашидович"</f>
        <v>Байбеков Роман Рашидович</v>
      </c>
      <c r="D199" s="7">
        <v>75</v>
      </c>
      <c r="E199" s="7"/>
      <c r="F199" s="6" t="str">
        <f>""</f>
        <v/>
      </c>
      <c r="G199" s="7"/>
      <c r="H199" s="8"/>
      <c r="I199" s="7">
        <v>12.56</v>
      </c>
      <c r="J199" s="9"/>
      <c r="K199" s="7"/>
      <c r="L199" s="6" t="str">
        <f>""</f>
        <v/>
      </c>
      <c r="M199" s="7"/>
      <c r="N199" s="6" t="str">
        <f>""</f>
        <v/>
      </c>
      <c r="O199" s="3"/>
    </row>
    <row r="200" spans="1:15" ht="30" customHeight="1" x14ac:dyDescent="0.25">
      <c r="A200" s="4" t="s">
        <v>6</v>
      </c>
      <c r="B200" s="10" t="str">
        <f>""</f>
        <v/>
      </c>
      <c r="C200" s="10" t="str">
        <f>"Итого по кандидату"</f>
        <v>Итого по кандидату</v>
      </c>
      <c r="D200" s="11">
        <v>75</v>
      </c>
      <c r="E200" s="11">
        <v>0</v>
      </c>
      <c r="F200" s="10" t="str">
        <f>""</f>
        <v/>
      </c>
      <c r="G200" s="11">
        <v>0</v>
      </c>
      <c r="H200" s="12"/>
      <c r="I200" s="11">
        <v>12.56</v>
      </c>
      <c r="J200" s="13"/>
      <c r="K200" s="11">
        <v>0</v>
      </c>
      <c r="L200" s="10" t="str">
        <f>""</f>
        <v/>
      </c>
      <c r="M200" s="11">
        <v>0</v>
      </c>
      <c r="N200" s="10" t="str">
        <f>""</f>
        <v/>
      </c>
      <c r="O200" s="3"/>
    </row>
    <row r="201" spans="1:15" ht="45" customHeight="1" x14ac:dyDescent="0.25">
      <c r="A201" s="5" t="s">
        <v>94</v>
      </c>
      <c r="B201" s="6" t="str">
        <f>"Округ №22 (№ 22)"</f>
        <v>Округ №22 (№ 22)</v>
      </c>
      <c r="C201" s="6" t="str">
        <f>"Моторин Геннадий Андреевич"</f>
        <v>Моторин Геннадий Андреевич</v>
      </c>
      <c r="D201" s="7"/>
      <c r="E201" s="7"/>
      <c r="F201" s="6" t="str">
        <f>""</f>
        <v/>
      </c>
      <c r="G201" s="7"/>
      <c r="H201" s="8"/>
      <c r="I201" s="7"/>
      <c r="J201" s="9"/>
      <c r="K201" s="7"/>
      <c r="L201" s="6" t="str">
        <f>""</f>
        <v/>
      </c>
      <c r="M201" s="7"/>
      <c r="N201" s="6" t="str">
        <f>""</f>
        <v/>
      </c>
      <c r="O201" s="3"/>
    </row>
    <row r="202" spans="1:15" ht="30" customHeight="1" x14ac:dyDescent="0.25">
      <c r="A202" s="4" t="s">
        <v>6</v>
      </c>
      <c r="B202" s="10" t="str">
        <f>""</f>
        <v/>
      </c>
      <c r="C202" s="10" t="str">
        <f>"Итого по кандидату"</f>
        <v>Итого по кандидату</v>
      </c>
      <c r="D202" s="11">
        <v>0.5</v>
      </c>
      <c r="E202" s="11">
        <v>0</v>
      </c>
      <c r="F202" s="10" t="str">
        <f>""</f>
        <v/>
      </c>
      <c r="G202" s="11">
        <v>0</v>
      </c>
      <c r="H202" s="12"/>
      <c r="I202" s="11">
        <v>0.5</v>
      </c>
      <c r="J202" s="13"/>
      <c r="K202" s="11">
        <v>0</v>
      </c>
      <c r="L202" s="10" t="str">
        <f>""</f>
        <v/>
      </c>
      <c r="M202" s="11">
        <v>0</v>
      </c>
      <c r="N202" s="10" t="str">
        <f>""</f>
        <v/>
      </c>
      <c r="O202" s="3"/>
    </row>
    <row r="203" spans="1:15" ht="45" customHeight="1" x14ac:dyDescent="0.25">
      <c r="A203" s="5" t="s">
        <v>95</v>
      </c>
      <c r="B203" s="6" t="str">
        <f>"Округ №22 (№ 22)"</f>
        <v>Округ №22 (№ 22)</v>
      </c>
      <c r="C203" s="6" t="str">
        <f>"Моторин Геннадий Андреевич"</f>
        <v>Моторин Геннадий Андреевич</v>
      </c>
      <c r="D203" s="7"/>
      <c r="E203" s="7"/>
      <c r="F203" s="6" t="str">
        <f>""</f>
        <v/>
      </c>
      <c r="G203" s="7"/>
      <c r="H203" s="8"/>
      <c r="I203" s="7"/>
      <c r="J203" s="9"/>
      <c r="K203" s="7"/>
      <c r="L203" s="6" t="str">
        <f>""</f>
        <v/>
      </c>
      <c r="M203" s="7"/>
      <c r="N203" s="6" t="str">
        <f>""</f>
        <v/>
      </c>
      <c r="O203" s="3"/>
    </row>
    <row r="204" spans="1:15" ht="30" customHeight="1" x14ac:dyDescent="0.25">
      <c r="A204" s="4" t="s">
        <v>6</v>
      </c>
      <c r="B204" s="10" t="str">
        <f>""</f>
        <v/>
      </c>
      <c r="C204" s="10" t="str">
        <f>"Итого по кандидату"</f>
        <v>Итого по кандидату</v>
      </c>
      <c r="D204" s="11">
        <v>0.5</v>
      </c>
      <c r="E204" s="11">
        <v>0</v>
      </c>
      <c r="F204" s="10" t="str">
        <f>""</f>
        <v/>
      </c>
      <c r="G204" s="11">
        <v>0</v>
      </c>
      <c r="H204" s="12"/>
      <c r="I204" s="11">
        <v>0.5</v>
      </c>
      <c r="J204" s="13"/>
      <c r="K204" s="11">
        <v>0</v>
      </c>
      <c r="L204" s="10" t="str">
        <f>""</f>
        <v/>
      </c>
      <c r="M204" s="11">
        <v>0</v>
      </c>
      <c r="N204" s="10" t="str">
        <f>""</f>
        <v/>
      </c>
      <c r="O204" s="3"/>
    </row>
    <row r="205" spans="1:15" ht="60" customHeight="1" x14ac:dyDescent="0.25">
      <c r="A205" s="5" t="s">
        <v>96</v>
      </c>
      <c r="B205" s="6" t="str">
        <f>"Округ №22 (№ 22)"</f>
        <v>Округ №22 (№ 22)</v>
      </c>
      <c r="C205" s="6" t="str">
        <f>"Поляков Степан Александрович"</f>
        <v>Поляков Степан Александрович</v>
      </c>
      <c r="D205" s="7">
        <v>10</v>
      </c>
      <c r="E205" s="7"/>
      <c r="F205" s="6" t="str">
        <f>""</f>
        <v/>
      </c>
      <c r="G205" s="7"/>
      <c r="H205" s="8"/>
      <c r="I205" s="7">
        <v>0</v>
      </c>
      <c r="J205" s="9"/>
      <c r="K205" s="7"/>
      <c r="L205" s="6" t="str">
        <f>""</f>
        <v/>
      </c>
      <c r="M205" s="7"/>
      <c r="N205" s="6" t="str">
        <f>""</f>
        <v/>
      </c>
      <c r="O205" s="3"/>
    </row>
    <row r="206" spans="1:15" ht="30" customHeight="1" x14ac:dyDescent="0.25">
      <c r="A206" s="4" t="s">
        <v>6</v>
      </c>
      <c r="B206" s="10" t="str">
        <f>""</f>
        <v/>
      </c>
      <c r="C206" s="10" t="str">
        <f>"Итого по кандидату"</f>
        <v>Итого по кандидату</v>
      </c>
      <c r="D206" s="11">
        <v>10</v>
      </c>
      <c r="E206" s="11">
        <v>0</v>
      </c>
      <c r="F206" s="10" t="str">
        <f>""</f>
        <v/>
      </c>
      <c r="G206" s="11">
        <v>0</v>
      </c>
      <c r="H206" s="12"/>
      <c r="I206" s="11">
        <v>0</v>
      </c>
      <c r="J206" s="13"/>
      <c r="K206" s="11">
        <v>0</v>
      </c>
      <c r="L206" s="10" t="str">
        <f>""</f>
        <v/>
      </c>
      <c r="M206" s="11">
        <v>0</v>
      </c>
      <c r="N206" s="10" t="str">
        <f>""</f>
        <v/>
      </c>
      <c r="O206" s="3"/>
    </row>
    <row r="207" spans="1:15" ht="45" customHeight="1" x14ac:dyDescent="0.25">
      <c r="A207" s="5" t="s">
        <v>97</v>
      </c>
      <c r="B207" s="6" t="str">
        <f>"Округ №22 (№ 22)"</f>
        <v>Округ №22 (№ 22)</v>
      </c>
      <c r="C207" s="6" t="str">
        <f>"Шеповалов Станислав Николаевич"</f>
        <v>Шеповалов Станислав Николаевич</v>
      </c>
      <c r="D207" s="7">
        <v>0.5</v>
      </c>
      <c r="E207" s="7"/>
      <c r="F207" s="6" t="str">
        <f>""</f>
        <v/>
      </c>
      <c r="G207" s="7"/>
      <c r="H207" s="8"/>
      <c r="I207" s="7">
        <v>0.5</v>
      </c>
      <c r="J207" s="9"/>
      <c r="K207" s="7"/>
      <c r="L207" s="6" t="str">
        <f>""</f>
        <v/>
      </c>
      <c r="M207" s="7"/>
      <c r="N207" s="6" t="str">
        <f>""</f>
        <v/>
      </c>
      <c r="O207" s="3"/>
    </row>
    <row r="208" spans="1:15" ht="30" customHeight="1" x14ac:dyDescent="0.25">
      <c r="A208" s="4" t="s">
        <v>6</v>
      </c>
      <c r="B208" s="10" t="str">
        <f>""</f>
        <v/>
      </c>
      <c r="C208" s="10" t="str">
        <f>"Итого по кандидату"</f>
        <v>Итого по кандидату</v>
      </c>
      <c r="D208" s="11">
        <v>0.5</v>
      </c>
      <c r="E208" s="11">
        <v>0</v>
      </c>
      <c r="F208" s="10" t="str">
        <f>""</f>
        <v/>
      </c>
      <c r="G208" s="11">
        <v>0</v>
      </c>
      <c r="H208" s="12"/>
      <c r="I208" s="11">
        <v>0.5</v>
      </c>
      <c r="J208" s="13"/>
      <c r="K208" s="11">
        <v>0</v>
      </c>
      <c r="L208" s="10" t="str">
        <f>""</f>
        <v/>
      </c>
      <c r="M208" s="11">
        <v>0</v>
      </c>
      <c r="N208" s="10" t="str">
        <f>""</f>
        <v/>
      </c>
      <c r="O208" s="3"/>
    </row>
    <row r="209" spans="1:15" ht="75" customHeight="1" x14ac:dyDescent="0.25">
      <c r="A209" s="4" t="s">
        <v>6</v>
      </c>
      <c r="B209" s="10" t="str">
        <f>""</f>
        <v/>
      </c>
      <c r="C209" s="10" t="str">
        <f>"Избирательный округ (Округ №22 (№ 22)), всего"</f>
        <v>Избирательный округ (Округ №22 (№ 22)), всего</v>
      </c>
      <c r="D209" s="11">
        <v>86.5</v>
      </c>
      <c r="E209" s="11">
        <v>0</v>
      </c>
      <c r="F209" s="10" t="str">
        <f>""</f>
        <v/>
      </c>
      <c r="G209" s="11">
        <v>0</v>
      </c>
      <c r="H209" s="12"/>
      <c r="I209" s="11">
        <v>14.06</v>
      </c>
      <c r="J209" s="13"/>
      <c r="K209" s="11">
        <v>0</v>
      </c>
      <c r="L209" s="10" t="str">
        <f>""</f>
        <v/>
      </c>
      <c r="M209" s="11">
        <v>0</v>
      </c>
      <c r="N209" s="10" t="str">
        <f>""</f>
        <v/>
      </c>
      <c r="O209" s="3"/>
    </row>
    <row r="210" spans="1:15" ht="60" customHeight="1" x14ac:dyDescent="0.25">
      <c r="A210" s="5" t="s">
        <v>98</v>
      </c>
      <c r="B210" s="6" t="str">
        <f>"Округ №23 (№ 23)"</f>
        <v>Округ №23 (№ 23)</v>
      </c>
      <c r="C210" s="6" t="str">
        <f>"Камоска Николай Владимирович"</f>
        <v>Камоска Николай Владимирович</v>
      </c>
      <c r="D210" s="7">
        <v>75</v>
      </c>
      <c r="E210" s="7"/>
      <c r="F210" s="6" t="str">
        <f>""</f>
        <v/>
      </c>
      <c r="G210" s="7"/>
      <c r="H210" s="8"/>
      <c r="I210" s="7">
        <v>17.61</v>
      </c>
      <c r="J210" s="9"/>
      <c r="K210" s="7"/>
      <c r="L210" s="6" t="str">
        <f>""</f>
        <v/>
      </c>
      <c r="M210" s="7"/>
      <c r="N210" s="6" t="str">
        <f>""</f>
        <v/>
      </c>
      <c r="O210" s="3"/>
    </row>
    <row r="211" spans="1:15" ht="30" customHeight="1" x14ac:dyDescent="0.25">
      <c r="A211" s="4" t="s">
        <v>6</v>
      </c>
      <c r="B211" s="10" t="str">
        <f>""</f>
        <v/>
      </c>
      <c r="C211" s="10" t="str">
        <f>"Итого по кандидату"</f>
        <v>Итого по кандидату</v>
      </c>
      <c r="D211" s="11">
        <v>75</v>
      </c>
      <c r="E211" s="11">
        <v>0</v>
      </c>
      <c r="F211" s="10" t="str">
        <f>""</f>
        <v/>
      </c>
      <c r="G211" s="11">
        <v>0</v>
      </c>
      <c r="H211" s="12"/>
      <c r="I211" s="11">
        <v>17.61</v>
      </c>
      <c r="J211" s="13"/>
      <c r="K211" s="11">
        <v>0</v>
      </c>
      <c r="L211" s="10" t="str">
        <f>""</f>
        <v/>
      </c>
      <c r="M211" s="11">
        <v>0</v>
      </c>
      <c r="N211" s="10" t="str">
        <f>""</f>
        <v/>
      </c>
      <c r="O211" s="3"/>
    </row>
    <row r="212" spans="1:15" ht="45" customHeight="1" x14ac:dyDescent="0.25">
      <c r="A212" s="5" t="s">
        <v>99</v>
      </c>
      <c r="B212" s="6" t="str">
        <f>"Округ №23 (№ 23)"</f>
        <v>Округ №23 (№ 23)</v>
      </c>
      <c r="C212" s="6" t="str">
        <f>"Метлев Николай Андреевич"</f>
        <v>Метлев Николай Андреевич</v>
      </c>
      <c r="D212" s="7">
        <v>0.5</v>
      </c>
      <c r="E212" s="7"/>
      <c r="F212" s="6" t="str">
        <f>""</f>
        <v/>
      </c>
      <c r="G212" s="7"/>
      <c r="H212" s="8"/>
      <c r="I212" s="7">
        <v>0.5</v>
      </c>
      <c r="J212" s="9"/>
      <c r="K212" s="7"/>
      <c r="L212" s="6" t="str">
        <f>""</f>
        <v/>
      </c>
      <c r="M212" s="7"/>
      <c r="N212" s="6" t="str">
        <f>""</f>
        <v/>
      </c>
      <c r="O212" s="3"/>
    </row>
    <row r="213" spans="1:15" ht="30" customHeight="1" x14ac:dyDescent="0.25">
      <c r="A213" s="4" t="s">
        <v>6</v>
      </c>
      <c r="B213" s="10" t="str">
        <f>""</f>
        <v/>
      </c>
      <c r="C213" s="10" t="str">
        <f>"Итого по кандидату"</f>
        <v>Итого по кандидату</v>
      </c>
      <c r="D213" s="11">
        <v>0.5</v>
      </c>
      <c r="E213" s="11">
        <v>0</v>
      </c>
      <c r="F213" s="10" t="str">
        <f>""</f>
        <v/>
      </c>
      <c r="G213" s="11">
        <v>0</v>
      </c>
      <c r="H213" s="12"/>
      <c r="I213" s="11">
        <v>0.5</v>
      </c>
      <c r="J213" s="13"/>
      <c r="K213" s="11">
        <v>0</v>
      </c>
      <c r="L213" s="10" t="str">
        <f>""</f>
        <v/>
      </c>
      <c r="M213" s="11">
        <v>0</v>
      </c>
      <c r="N213" s="10" t="str">
        <f>""</f>
        <v/>
      </c>
      <c r="O213" s="3"/>
    </row>
    <row r="214" spans="1:15" ht="45" customHeight="1" x14ac:dyDescent="0.25">
      <c r="A214" s="5" t="s">
        <v>100</v>
      </c>
      <c r="B214" s="6" t="str">
        <f>"Округ №23 (№ 23)"</f>
        <v>Округ №23 (№ 23)</v>
      </c>
      <c r="C214" s="6" t="str">
        <f>"Романова Ольга Ильинична"</f>
        <v>Романова Ольга Ильинична</v>
      </c>
      <c r="D214" s="7">
        <v>35</v>
      </c>
      <c r="E214" s="7"/>
      <c r="F214" s="6" t="str">
        <f>""</f>
        <v/>
      </c>
      <c r="G214" s="7"/>
      <c r="H214" s="8"/>
      <c r="I214" s="7">
        <v>32.450000000000003</v>
      </c>
      <c r="J214" s="9"/>
      <c r="K214" s="7"/>
      <c r="L214" s="6" t="str">
        <f>""</f>
        <v/>
      </c>
      <c r="M214" s="7"/>
      <c r="N214" s="6" t="str">
        <f>""</f>
        <v/>
      </c>
      <c r="O214" s="3"/>
    </row>
    <row r="215" spans="1:15" ht="30" customHeight="1" x14ac:dyDescent="0.25">
      <c r="A215" s="4" t="s">
        <v>6</v>
      </c>
      <c r="B215" s="10" t="str">
        <f>""</f>
        <v/>
      </c>
      <c r="C215" s="10" t="str">
        <f>"Итого по кандидату"</f>
        <v>Итого по кандидату</v>
      </c>
      <c r="D215" s="11">
        <v>35</v>
      </c>
      <c r="E215" s="11">
        <v>0</v>
      </c>
      <c r="F215" s="10" t="str">
        <f>""</f>
        <v/>
      </c>
      <c r="G215" s="11">
        <v>0</v>
      </c>
      <c r="H215" s="12"/>
      <c r="I215" s="11">
        <v>32.450000000000003</v>
      </c>
      <c r="J215" s="13"/>
      <c r="K215" s="11">
        <v>0</v>
      </c>
      <c r="L215" s="10" t="str">
        <f>""</f>
        <v/>
      </c>
      <c r="M215" s="11">
        <v>0</v>
      </c>
      <c r="N215" s="10" t="str">
        <f>""</f>
        <v/>
      </c>
      <c r="O215" s="3"/>
    </row>
    <row r="216" spans="1:15" ht="75" customHeight="1" x14ac:dyDescent="0.25">
      <c r="A216" s="4" t="s">
        <v>6</v>
      </c>
      <c r="B216" s="10" t="str">
        <f>""</f>
        <v/>
      </c>
      <c r="C216" s="10" t="str">
        <f>"Избирательный округ (Округ №23 (№ 23)), всего"</f>
        <v>Избирательный округ (Округ №23 (№ 23)), всего</v>
      </c>
      <c r="D216" s="11">
        <v>110.5</v>
      </c>
      <c r="E216" s="11">
        <v>0</v>
      </c>
      <c r="F216" s="10" t="str">
        <f>""</f>
        <v/>
      </c>
      <c r="G216" s="11">
        <v>0</v>
      </c>
      <c r="H216" s="12"/>
      <c r="I216" s="11">
        <v>50.56</v>
      </c>
      <c r="J216" s="13"/>
      <c r="K216" s="11">
        <v>0</v>
      </c>
      <c r="L216" s="10" t="str">
        <f>""</f>
        <v/>
      </c>
      <c r="M216" s="11">
        <v>0</v>
      </c>
      <c r="N216" s="10" t="str">
        <f>""</f>
        <v/>
      </c>
      <c r="O216" s="3"/>
    </row>
    <row r="217" spans="1:15" ht="45" customHeight="1" x14ac:dyDescent="0.25">
      <c r="A217" s="5" t="s">
        <v>101</v>
      </c>
      <c r="B217" s="6" t="str">
        <f>"Округ №24 (№ 24)"</f>
        <v>Округ №24 (№ 24)</v>
      </c>
      <c r="C217" s="6" t="str">
        <f>"Алексеев Владимир Викторович"</f>
        <v>Алексеев Владимир Викторович</v>
      </c>
      <c r="D217" s="7">
        <v>0.5</v>
      </c>
      <c r="E217" s="7"/>
      <c r="F217" s="6" t="str">
        <f>""</f>
        <v/>
      </c>
      <c r="G217" s="7"/>
      <c r="H217" s="8"/>
      <c r="I217" s="7">
        <v>0.5</v>
      </c>
      <c r="J217" s="9"/>
      <c r="K217" s="7"/>
      <c r="L217" s="6" t="str">
        <f>""</f>
        <v/>
      </c>
      <c r="M217" s="7"/>
      <c r="N217" s="6" t="str">
        <f>""</f>
        <v/>
      </c>
      <c r="O217" s="3"/>
    </row>
    <row r="218" spans="1:15" ht="30" customHeight="1" x14ac:dyDescent="0.25">
      <c r="A218" s="4" t="s">
        <v>6</v>
      </c>
      <c r="B218" s="10" t="str">
        <f>""</f>
        <v/>
      </c>
      <c r="C218" s="10" t="str">
        <f>"Итого по кандидату"</f>
        <v>Итого по кандидату</v>
      </c>
      <c r="D218" s="11">
        <v>0.5</v>
      </c>
      <c r="E218" s="11">
        <v>0</v>
      </c>
      <c r="F218" s="10" t="str">
        <f>""</f>
        <v/>
      </c>
      <c r="G218" s="11">
        <v>0</v>
      </c>
      <c r="H218" s="12"/>
      <c r="I218" s="11">
        <v>0.5</v>
      </c>
      <c r="J218" s="13"/>
      <c r="K218" s="11">
        <v>0</v>
      </c>
      <c r="L218" s="10" t="str">
        <f>""</f>
        <v/>
      </c>
      <c r="M218" s="11">
        <v>0</v>
      </c>
      <c r="N218" s="10" t="str">
        <f>""</f>
        <v/>
      </c>
      <c r="O218" s="3"/>
    </row>
    <row r="219" spans="1:15" ht="60" customHeight="1" x14ac:dyDescent="0.25">
      <c r="A219" s="5" t="s">
        <v>102</v>
      </c>
      <c r="B219" s="6" t="str">
        <f>"Округ №24 (№ 24)"</f>
        <v>Округ №24 (№ 24)</v>
      </c>
      <c r="C219" s="6" t="str">
        <f>"Парфенов Олег Анатольевич"</f>
        <v>Парфенов Олег Анатольевич</v>
      </c>
      <c r="D219" s="7">
        <v>33.5</v>
      </c>
      <c r="E219" s="7"/>
      <c r="F219" s="6" t="str">
        <f>""</f>
        <v/>
      </c>
      <c r="G219" s="7"/>
      <c r="H219" s="8"/>
      <c r="I219" s="7">
        <v>33.5</v>
      </c>
      <c r="J219" s="9"/>
      <c r="K219" s="7"/>
      <c r="L219" s="6" t="str">
        <f>""</f>
        <v/>
      </c>
      <c r="M219" s="7"/>
      <c r="N219" s="6" t="str">
        <f>""</f>
        <v/>
      </c>
      <c r="O219" s="3"/>
    </row>
    <row r="220" spans="1:15" ht="30" customHeight="1" x14ac:dyDescent="0.25">
      <c r="A220" s="4" t="s">
        <v>6</v>
      </c>
      <c r="B220" s="10" t="str">
        <f>""</f>
        <v/>
      </c>
      <c r="C220" s="10" t="str">
        <f>"Итого по кандидату"</f>
        <v>Итого по кандидату</v>
      </c>
      <c r="D220" s="11">
        <v>33.5</v>
      </c>
      <c r="E220" s="11">
        <v>0</v>
      </c>
      <c r="F220" s="10" t="str">
        <f>""</f>
        <v/>
      </c>
      <c r="G220" s="11">
        <v>0</v>
      </c>
      <c r="H220" s="12"/>
      <c r="I220" s="11">
        <v>33.5</v>
      </c>
      <c r="J220" s="13"/>
      <c r="K220" s="11">
        <v>0</v>
      </c>
      <c r="L220" s="10" t="str">
        <f>""</f>
        <v/>
      </c>
      <c r="M220" s="11">
        <v>0</v>
      </c>
      <c r="N220" s="10" t="str">
        <f>""</f>
        <v/>
      </c>
      <c r="O220" s="3"/>
    </row>
    <row r="221" spans="1:15" ht="60" customHeight="1" x14ac:dyDescent="0.25">
      <c r="A221" s="5" t="s">
        <v>103</v>
      </c>
      <c r="B221" s="6" t="str">
        <f>"Округ №24 (№ 24)"</f>
        <v>Округ №24 (№ 24)</v>
      </c>
      <c r="C221" s="6" t="str">
        <f>"Соболев Игорь Александрович"</f>
        <v>Соболев Игорь Александрович</v>
      </c>
      <c r="D221" s="7">
        <v>30</v>
      </c>
      <c r="E221" s="7"/>
      <c r="F221" s="6" t="str">
        <f>""</f>
        <v/>
      </c>
      <c r="G221" s="7"/>
      <c r="H221" s="8"/>
      <c r="I221" s="7">
        <v>28</v>
      </c>
      <c r="J221" s="9"/>
      <c r="K221" s="7"/>
      <c r="L221" s="6" t="str">
        <f>""</f>
        <v/>
      </c>
      <c r="M221" s="7"/>
      <c r="N221" s="6" t="str">
        <f>""</f>
        <v/>
      </c>
      <c r="O221" s="3"/>
    </row>
    <row r="222" spans="1:15" ht="30" customHeight="1" x14ac:dyDescent="0.25">
      <c r="A222" s="4" t="s">
        <v>6</v>
      </c>
      <c r="B222" s="10" t="str">
        <f>""</f>
        <v/>
      </c>
      <c r="C222" s="10" t="str">
        <f>"Итого по кандидату"</f>
        <v>Итого по кандидату</v>
      </c>
      <c r="D222" s="11">
        <v>30</v>
      </c>
      <c r="E222" s="11">
        <v>0</v>
      </c>
      <c r="F222" s="10" t="str">
        <f>""</f>
        <v/>
      </c>
      <c r="G222" s="11">
        <v>0</v>
      </c>
      <c r="H222" s="12"/>
      <c r="I222" s="11">
        <v>28</v>
      </c>
      <c r="J222" s="13"/>
      <c r="K222" s="11">
        <v>0</v>
      </c>
      <c r="L222" s="10" t="str">
        <f>""</f>
        <v/>
      </c>
      <c r="M222" s="11">
        <v>0</v>
      </c>
      <c r="N222" s="10" t="str">
        <f>""</f>
        <v/>
      </c>
      <c r="O222" s="3"/>
    </row>
    <row r="223" spans="1:15" ht="75" customHeight="1" x14ac:dyDescent="0.25">
      <c r="A223" s="4" t="s">
        <v>6</v>
      </c>
      <c r="B223" s="10" t="str">
        <f>""</f>
        <v/>
      </c>
      <c r="C223" s="10" t="str">
        <f>"Избирательный округ (Округ №24 (№ 24)), всего"</f>
        <v>Избирательный округ (Округ №24 (№ 24)), всего</v>
      </c>
      <c r="D223" s="11">
        <v>64</v>
      </c>
      <c r="E223" s="11">
        <v>0</v>
      </c>
      <c r="F223" s="10" t="str">
        <f>""</f>
        <v/>
      </c>
      <c r="G223" s="11">
        <v>0</v>
      </c>
      <c r="H223" s="12"/>
      <c r="I223" s="11">
        <v>62</v>
      </c>
      <c r="J223" s="13"/>
      <c r="K223" s="11">
        <v>0</v>
      </c>
      <c r="L223" s="10" t="str">
        <f>""</f>
        <v/>
      </c>
      <c r="M223" s="11">
        <v>0</v>
      </c>
      <c r="N223" s="10" t="str">
        <f>""</f>
        <v/>
      </c>
      <c r="O223" s="3"/>
    </row>
    <row r="224" spans="1:15" ht="45" customHeight="1" x14ac:dyDescent="0.25">
      <c r="A224" s="5" t="s">
        <v>104</v>
      </c>
      <c r="B224" s="6" t="str">
        <f>"Округ №25 (№ 25)"</f>
        <v>Округ №25 (№ 25)</v>
      </c>
      <c r="C224" s="6" t="str">
        <f>"Агафонова Ираида Николаевна"</f>
        <v>Агафонова Ираида Николаевна</v>
      </c>
      <c r="D224" s="7">
        <v>300</v>
      </c>
      <c r="E224" s="7"/>
      <c r="F224" s="6" t="str">
        <f>""</f>
        <v/>
      </c>
      <c r="G224" s="7"/>
      <c r="H224" s="8"/>
      <c r="I224" s="7">
        <v>17.61</v>
      </c>
      <c r="J224" s="9"/>
      <c r="K224" s="7"/>
      <c r="L224" s="6" t="str">
        <f>""</f>
        <v/>
      </c>
      <c r="M224" s="7"/>
      <c r="N224" s="6" t="str">
        <f>""</f>
        <v/>
      </c>
      <c r="O224" s="3"/>
    </row>
    <row r="225" spans="1:15" ht="30" customHeight="1" x14ac:dyDescent="0.25">
      <c r="A225" s="4" t="s">
        <v>6</v>
      </c>
      <c r="B225" s="10" t="str">
        <f>""</f>
        <v/>
      </c>
      <c r="C225" s="10" t="str">
        <f>"Итого по кандидату"</f>
        <v>Итого по кандидату</v>
      </c>
      <c r="D225" s="11">
        <v>300</v>
      </c>
      <c r="E225" s="11">
        <v>0</v>
      </c>
      <c r="F225" s="10" t="str">
        <f>""</f>
        <v/>
      </c>
      <c r="G225" s="11">
        <v>0</v>
      </c>
      <c r="H225" s="12"/>
      <c r="I225" s="11">
        <v>17.61</v>
      </c>
      <c r="J225" s="13"/>
      <c r="K225" s="11">
        <v>0</v>
      </c>
      <c r="L225" s="10" t="str">
        <f>""</f>
        <v/>
      </c>
      <c r="M225" s="11">
        <v>0</v>
      </c>
      <c r="N225" s="10" t="str">
        <f>""</f>
        <v/>
      </c>
      <c r="O225" s="3"/>
    </row>
    <row r="226" spans="1:15" ht="45" customHeight="1" x14ac:dyDescent="0.25">
      <c r="A226" s="5" t="s">
        <v>105</v>
      </c>
      <c r="B226" s="6" t="str">
        <f>"Округ №25 (№ 25)"</f>
        <v>Округ №25 (№ 25)</v>
      </c>
      <c r="C226" s="6" t="str">
        <f>"Петрова Мария Евгеньевна"</f>
        <v>Петрова Мария Евгеньевна</v>
      </c>
      <c r="D226" s="7"/>
      <c r="E226" s="7"/>
      <c r="F226" s="6" t="str">
        <f>""</f>
        <v/>
      </c>
      <c r="G226" s="7"/>
      <c r="H226" s="8"/>
      <c r="I226" s="7"/>
      <c r="J226" s="9"/>
      <c r="K226" s="7"/>
      <c r="L226" s="6" t="str">
        <f>""</f>
        <v/>
      </c>
      <c r="M226" s="7"/>
      <c r="N226" s="6" t="str">
        <f>""</f>
        <v/>
      </c>
      <c r="O226" s="3"/>
    </row>
    <row r="227" spans="1:15" ht="30" customHeight="1" x14ac:dyDescent="0.25">
      <c r="A227" s="4" t="s">
        <v>6</v>
      </c>
      <c r="B227" s="10" t="str">
        <f>""</f>
        <v/>
      </c>
      <c r="C227" s="10" t="str">
        <f>"Итого по кандидату"</f>
        <v>Итого по кандидату</v>
      </c>
      <c r="D227" s="11">
        <v>3.5</v>
      </c>
      <c r="E227" s="11">
        <v>0</v>
      </c>
      <c r="F227" s="10" t="str">
        <f>""</f>
        <v/>
      </c>
      <c r="G227" s="11">
        <v>0</v>
      </c>
      <c r="H227" s="12"/>
      <c r="I227" s="11">
        <v>3.5</v>
      </c>
      <c r="J227" s="13"/>
      <c r="K227" s="11">
        <v>0</v>
      </c>
      <c r="L227" s="10" t="str">
        <f>""</f>
        <v/>
      </c>
      <c r="M227" s="11">
        <v>0</v>
      </c>
      <c r="N227" s="10" t="str">
        <f>""</f>
        <v/>
      </c>
      <c r="O227" s="3"/>
    </row>
    <row r="228" spans="1:15" ht="45" customHeight="1" x14ac:dyDescent="0.25">
      <c r="A228" s="5" t="s">
        <v>106</v>
      </c>
      <c r="B228" s="6" t="str">
        <f>"Округ №25 (№ 25)"</f>
        <v>Округ №25 (№ 25)</v>
      </c>
      <c r="C228" s="6" t="str">
        <f>"Петрова Мария Евгеньевна"</f>
        <v>Петрова Мария Евгеньевна</v>
      </c>
      <c r="D228" s="7"/>
      <c r="E228" s="7"/>
      <c r="F228" s="6" t="str">
        <f>""</f>
        <v/>
      </c>
      <c r="G228" s="7"/>
      <c r="H228" s="8"/>
      <c r="I228" s="7"/>
      <c r="J228" s="9"/>
      <c r="K228" s="7"/>
      <c r="L228" s="6" t="str">
        <f>""</f>
        <v/>
      </c>
      <c r="M228" s="7"/>
      <c r="N228" s="6" t="str">
        <f>""</f>
        <v/>
      </c>
      <c r="O228" s="3"/>
    </row>
    <row r="229" spans="1:15" ht="30" customHeight="1" x14ac:dyDescent="0.25">
      <c r="A229" s="4" t="s">
        <v>6</v>
      </c>
      <c r="B229" s="10" t="str">
        <f>""</f>
        <v/>
      </c>
      <c r="C229" s="10" t="str">
        <f>"Итого по кандидату"</f>
        <v>Итого по кандидату</v>
      </c>
      <c r="D229" s="11">
        <v>0.5</v>
      </c>
      <c r="E229" s="11">
        <v>0</v>
      </c>
      <c r="F229" s="10" t="str">
        <f>""</f>
        <v/>
      </c>
      <c r="G229" s="11">
        <v>0</v>
      </c>
      <c r="H229" s="12"/>
      <c r="I229" s="11">
        <v>0.5</v>
      </c>
      <c r="J229" s="13"/>
      <c r="K229" s="11">
        <v>0</v>
      </c>
      <c r="L229" s="10" t="str">
        <f>""</f>
        <v/>
      </c>
      <c r="M229" s="11">
        <v>0</v>
      </c>
      <c r="N229" s="10" t="str">
        <f>""</f>
        <v/>
      </c>
      <c r="O229" s="3"/>
    </row>
    <row r="230" spans="1:15" ht="60" customHeight="1" x14ac:dyDescent="0.25">
      <c r="A230" s="5" t="s">
        <v>107</v>
      </c>
      <c r="B230" s="6" t="str">
        <f>"Округ №25 (№ 25)"</f>
        <v>Округ №25 (№ 25)</v>
      </c>
      <c r="C230" s="6" t="str">
        <f>"Соболев Дмитрий Александрович"</f>
        <v>Соболев Дмитрий Александрович</v>
      </c>
      <c r="D230" s="7">
        <v>0.5</v>
      </c>
      <c r="E230" s="7"/>
      <c r="F230" s="6" t="str">
        <f>""</f>
        <v/>
      </c>
      <c r="G230" s="7"/>
      <c r="H230" s="8"/>
      <c r="I230" s="7">
        <v>0.5</v>
      </c>
      <c r="J230" s="9"/>
      <c r="K230" s="7"/>
      <c r="L230" s="6" t="str">
        <f>""</f>
        <v/>
      </c>
      <c r="M230" s="7"/>
      <c r="N230" s="6" t="str">
        <f>""</f>
        <v/>
      </c>
      <c r="O230" s="3"/>
    </row>
    <row r="231" spans="1:15" ht="30" customHeight="1" x14ac:dyDescent="0.25">
      <c r="A231" s="4" t="s">
        <v>6</v>
      </c>
      <c r="B231" s="10" t="str">
        <f>""</f>
        <v/>
      </c>
      <c r="C231" s="10" t="str">
        <f>"Итого по кандидату"</f>
        <v>Итого по кандидату</v>
      </c>
      <c r="D231" s="11">
        <v>0.5</v>
      </c>
      <c r="E231" s="11">
        <v>0</v>
      </c>
      <c r="F231" s="10" t="str">
        <f>""</f>
        <v/>
      </c>
      <c r="G231" s="11">
        <v>0</v>
      </c>
      <c r="H231" s="12"/>
      <c r="I231" s="11">
        <v>0.5</v>
      </c>
      <c r="J231" s="13"/>
      <c r="K231" s="11">
        <v>0</v>
      </c>
      <c r="L231" s="10" t="str">
        <f>""</f>
        <v/>
      </c>
      <c r="M231" s="11">
        <v>0</v>
      </c>
      <c r="N231" s="10" t="str">
        <f>""</f>
        <v/>
      </c>
      <c r="O231" s="3"/>
    </row>
    <row r="232" spans="1:15" ht="60" customHeight="1" x14ac:dyDescent="0.25">
      <c r="A232" s="5" t="s">
        <v>108</v>
      </c>
      <c r="B232" s="6" t="str">
        <f>"Округ №25 (№ 25)"</f>
        <v>Округ №25 (№ 25)</v>
      </c>
      <c r="C232" s="6" t="str">
        <f>"Щапов Евгений Александрович"</f>
        <v>Щапов Евгений Александрович</v>
      </c>
      <c r="D232" s="7">
        <v>50</v>
      </c>
      <c r="E232" s="7"/>
      <c r="F232" s="6" t="str">
        <f>""</f>
        <v/>
      </c>
      <c r="G232" s="7"/>
      <c r="H232" s="8"/>
      <c r="I232" s="7">
        <v>41.16</v>
      </c>
      <c r="J232" s="9"/>
      <c r="K232" s="7"/>
      <c r="L232" s="6" t="str">
        <f>""</f>
        <v/>
      </c>
      <c r="M232" s="7"/>
      <c r="N232" s="6" t="str">
        <f>""</f>
        <v/>
      </c>
      <c r="O232" s="3"/>
    </row>
    <row r="233" spans="1:15" ht="30" customHeight="1" x14ac:dyDescent="0.25">
      <c r="A233" s="4" t="s">
        <v>6</v>
      </c>
      <c r="B233" s="10" t="str">
        <f>""</f>
        <v/>
      </c>
      <c r="C233" s="10" t="str">
        <f>"Итого по кандидату"</f>
        <v>Итого по кандидату</v>
      </c>
      <c r="D233" s="11">
        <v>50</v>
      </c>
      <c r="E233" s="11">
        <v>0</v>
      </c>
      <c r="F233" s="10" t="str">
        <f>""</f>
        <v/>
      </c>
      <c r="G233" s="11">
        <v>0</v>
      </c>
      <c r="H233" s="12"/>
      <c r="I233" s="11">
        <v>41.16</v>
      </c>
      <c r="J233" s="13"/>
      <c r="K233" s="11">
        <v>0</v>
      </c>
      <c r="L233" s="10" t="str">
        <f>""</f>
        <v/>
      </c>
      <c r="M233" s="11">
        <v>0</v>
      </c>
      <c r="N233" s="10" t="str">
        <f>""</f>
        <v/>
      </c>
      <c r="O233" s="3"/>
    </row>
    <row r="234" spans="1:15" ht="75" customHeight="1" x14ac:dyDescent="0.25">
      <c r="A234" s="4" t="s">
        <v>6</v>
      </c>
      <c r="B234" s="10" t="str">
        <f>""</f>
        <v/>
      </c>
      <c r="C234" s="10" t="str">
        <f>"Избирательный округ (Округ №25 (№ 25)), всего"</f>
        <v>Избирательный округ (Округ №25 (№ 25)), всего</v>
      </c>
      <c r="D234" s="11">
        <v>354.5</v>
      </c>
      <c r="E234" s="11">
        <v>0</v>
      </c>
      <c r="F234" s="10" t="str">
        <f>""</f>
        <v/>
      </c>
      <c r="G234" s="11">
        <v>0</v>
      </c>
      <c r="H234" s="12"/>
      <c r="I234" s="11">
        <v>63.27</v>
      </c>
      <c r="J234" s="13"/>
      <c r="K234" s="11">
        <v>0</v>
      </c>
      <c r="L234" s="10" t="str">
        <f>""</f>
        <v/>
      </c>
      <c r="M234" s="11">
        <v>0</v>
      </c>
      <c r="N234" s="10" t="str">
        <f>""</f>
        <v/>
      </c>
      <c r="O234" s="3"/>
    </row>
    <row r="235" spans="1:15" ht="45" customHeight="1" x14ac:dyDescent="0.25">
      <c r="A235" s="5" t="s">
        <v>109</v>
      </c>
      <c r="B235" s="6" t="str">
        <f>"Округ №26 (№ 26)"</f>
        <v>Округ №26 (№ 26)</v>
      </c>
      <c r="C235" s="6" t="str">
        <f>"Барских Кристина Викторовна"</f>
        <v>Барских Кристина Викторовна</v>
      </c>
      <c r="D235" s="7">
        <v>75</v>
      </c>
      <c r="E235" s="7"/>
      <c r="F235" s="6" t="str">
        <f>""</f>
        <v/>
      </c>
      <c r="G235" s="7"/>
      <c r="H235" s="8"/>
      <c r="I235" s="7">
        <v>0</v>
      </c>
      <c r="J235" s="9"/>
      <c r="K235" s="7"/>
      <c r="L235" s="6" t="str">
        <f>""</f>
        <v/>
      </c>
      <c r="M235" s="7"/>
      <c r="N235" s="6" t="str">
        <f>""</f>
        <v/>
      </c>
      <c r="O235" s="3"/>
    </row>
    <row r="236" spans="1:15" ht="30" customHeight="1" x14ac:dyDescent="0.25">
      <c r="A236" s="4" t="s">
        <v>6</v>
      </c>
      <c r="B236" s="10" t="str">
        <f>""</f>
        <v/>
      </c>
      <c r="C236" s="10" t="str">
        <f>"Итого по кандидату"</f>
        <v>Итого по кандидату</v>
      </c>
      <c r="D236" s="11">
        <v>75</v>
      </c>
      <c r="E236" s="11">
        <v>0</v>
      </c>
      <c r="F236" s="10" t="str">
        <f>""</f>
        <v/>
      </c>
      <c r="G236" s="11">
        <v>0</v>
      </c>
      <c r="H236" s="12"/>
      <c r="I236" s="11">
        <v>0</v>
      </c>
      <c r="J236" s="13"/>
      <c r="K236" s="11">
        <v>0</v>
      </c>
      <c r="L236" s="10" t="str">
        <f>""</f>
        <v/>
      </c>
      <c r="M236" s="11">
        <v>0</v>
      </c>
      <c r="N236" s="10" t="str">
        <f>""</f>
        <v/>
      </c>
      <c r="O236" s="3"/>
    </row>
    <row r="237" spans="1:15" ht="45" customHeight="1" x14ac:dyDescent="0.25">
      <c r="A237" s="5" t="s">
        <v>110</v>
      </c>
      <c r="B237" s="6" t="str">
        <f>"Округ №26 (№ 26)"</f>
        <v>Округ №26 (№ 26)</v>
      </c>
      <c r="C237" s="6" t="str">
        <f>"Русецкий Иван Васильевич"</f>
        <v>Русецкий Иван Васильевич</v>
      </c>
      <c r="D237" s="7">
        <v>32.450000000000003</v>
      </c>
      <c r="E237" s="7"/>
      <c r="F237" s="6" t="str">
        <f>""</f>
        <v/>
      </c>
      <c r="G237" s="7"/>
      <c r="H237" s="8"/>
      <c r="I237" s="7">
        <v>32.450000000000003</v>
      </c>
      <c r="J237" s="9"/>
      <c r="K237" s="7"/>
      <c r="L237" s="6" t="str">
        <f>""</f>
        <v/>
      </c>
      <c r="M237" s="7"/>
      <c r="N237" s="6" t="str">
        <f>""</f>
        <v/>
      </c>
      <c r="O237" s="3"/>
    </row>
    <row r="238" spans="1:15" ht="30" customHeight="1" x14ac:dyDescent="0.25">
      <c r="A238" s="4" t="s">
        <v>6</v>
      </c>
      <c r="B238" s="10" t="str">
        <f>""</f>
        <v/>
      </c>
      <c r="C238" s="10" t="str">
        <f>"Итого по кандидату"</f>
        <v>Итого по кандидату</v>
      </c>
      <c r="D238" s="11">
        <v>32.450000000000003</v>
      </c>
      <c r="E238" s="11">
        <v>0</v>
      </c>
      <c r="F238" s="10" t="str">
        <f>""</f>
        <v/>
      </c>
      <c r="G238" s="11">
        <v>0</v>
      </c>
      <c r="H238" s="12"/>
      <c r="I238" s="11">
        <v>32.450000000000003</v>
      </c>
      <c r="J238" s="13"/>
      <c r="K238" s="11">
        <v>0</v>
      </c>
      <c r="L238" s="10" t="str">
        <f>""</f>
        <v/>
      </c>
      <c r="M238" s="11">
        <v>0</v>
      </c>
      <c r="N238" s="10" t="str">
        <f>""</f>
        <v/>
      </c>
      <c r="O238" s="3"/>
    </row>
    <row r="239" spans="1:15" ht="45" customHeight="1" x14ac:dyDescent="0.25">
      <c r="A239" s="5" t="s">
        <v>111</v>
      </c>
      <c r="B239" s="6" t="str">
        <f>"Округ №26 (№ 26)"</f>
        <v>Округ №26 (№ 26)</v>
      </c>
      <c r="C239" s="6" t="str">
        <f>"Соболева Зоя Павловна"</f>
        <v>Соболева Зоя Павловна</v>
      </c>
      <c r="D239" s="7">
        <v>28</v>
      </c>
      <c r="E239" s="7"/>
      <c r="F239" s="6" t="str">
        <f>""</f>
        <v/>
      </c>
      <c r="G239" s="7"/>
      <c r="H239" s="8"/>
      <c r="I239" s="7">
        <v>28</v>
      </c>
      <c r="J239" s="9"/>
      <c r="K239" s="7"/>
      <c r="L239" s="6" t="str">
        <f>""</f>
        <v/>
      </c>
      <c r="M239" s="7"/>
      <c r="N239" s="6" t="str">
        <f>""</f>
        <v/>
      </c>
      <c r="O239" s="3"/>
    </row>
    <row r="240" spans="1:15" ht="30" customHeight="1" x14ac:dyDescent="0.25">
      <c r="A240" s="4" t="s">
        <v>6</v>
      </c>
      <c r="B240" s="10" t="str">
        <f>""</f>
        <v/>
      </c>
      <c r="C240" s="10" t="str">
        <f>"Итого по кандидату"</f>
        <v>Итого по кандидату</v>
      </c>
      <c r="D240" s="11">
        <v>28</v>
      </c>
      <c r="E240" s="11">
        <v>0</v>
      </c>
      <c r="F240" s="10" t="str">
        <f>""</f>
        <v/>
      </c>
      <c r="G240" s="11">
        <v>0</v>
      </c>
      <c r="H240" s="12"/>
      <c r="I240" s="11">
        <v>28</v>
      </c>
      <c r="J240" s="13"/>
      <c r="K240" s="11">
        <v>0</v>
      </c>
      <c r="L240" s="10" t="str">
        <f>""</f>
        <v/>
      </c>
      <c r="M240" s="11">
        <v>0</v>
      </c>
      <c r="N240" s="10" t="str">
        <f>""</f>
        <v/>
      </c>
      <c r="O240" s="3"/>
    </row>
    <row r="241" spans="1:15" ht="45" customHeight="1" x14ac:dyDescent="0.25">
      <c r="A241" s="5" t="s">
        <v>112</v>
      </c>
      <c r="B241" s="6" t="str">
        <f>"Округ №26 (№ 26)"</f>
        <v>Округ №26 (№ 26)</v>
      </c>
      <c r="C241" s="6" t="str">
        <f>"Третьякова Виктория Сергеевна"</f>
        <v>Третьякова Виктория Сергеевна</v>
      </c>
      <c r="D241" s="7">
        <v>0.5</v>
      </c>
      <c r="E241" s="7"/>
      <c r="F241" s="6" t="str">
        <f>""</f>
        <v/>
      </c>
      <c r="G241" s="7"/>
      <c r="H241" s="8"/>
      <c r="I241" s="7">
        <v>0.5</v>
      </c>
      <c r="J241" s="9"/>
      <c r="K241" s="7"/>
      <c r="L241" s="6" t="str">
        <f>""</f>
        <v/>
      </c>
      <c r="M241" s="7"/>
      <c r="N241" s="6" t="str">
        <f>""</f>
        <v/>
      </c>
      <c r="O241" s="3"/>
    </row>
    <row r="242" spans="1:15" ht="30" customHeight="1" x14ac:dyDescent="0.25">
      <c r="A242" s="4" t="s">
        <v>6</v>
      </c>
      <c r="B242" s="10" t="str">
        <f>""</f>
        <v/>
      </c>
      <c r="C242" s="10" t="str">
        <f>"Итого по кандидату"</f>
        <v>Итого по кандидату</v>
      </c>
      <c r="D242" s="11">
        <v>0.5</v>
      </c>
      <c r="E242" s="11">
        <v>0</v>
      </c>
      <c r="F242" s="10" t="str">
        <f>""</f>
        <v/>
      </c>
      <c r="G242" s="11">
        <v>0</v>
      </c>
      <c r="H242" s="12"/>
      <c r="I242" s="11">
        <v>0.5</v>
      </c>
      <c r="J242" s="13"/>
      <c r="K242" s="11">
        <v>0</v>
      </c>
      <c r="L242" s="10" t="str">
        <f>""</f>
        <v/>
      </c>
      <c r="M242" s="11">
        <v>0</v>
      </c>
      <c r="N242" s="10" t="str">
        <f>""</f>
        <v/>
      </c>
      <c r="O242" s="3"/>
    </row>
    <row r="243" spans="1:15" ht="75" customHeight="1" x14ac:dyDescent="0.25">
      <c r="A243" s="4" t="s">
        <v>6</v>
      </c>
      <c r="B243" s="10" t="str">
        <f>""</f>
        <v/>
      </c>
      <c r="C243" s="10" t="str">
        <f>"Избирательный округ (Округ №26 (№ 26)), всего"</f>
        <v>Избирательный округ (Округ №26 (№ 26)), всего</v>
      </c>
      <c r="D243" s="11">
        <v>135.94999999999999</v>
      </c>
      <c r="E243" s="11">
        <v>0</v>
      </c>
      <c r="F243" s="10" t="str">
        <f>""</f>
        <v/>
      </c>
      <c r="G243" s="11">
        <v>0</v>
      </c>
      <c r="H243" s="12"/>
      <c r="I243" s="11">
        <v>60.95</v>
      </c>
      <c r="J243" s="13"/>
      <c r="K243" s="11">
        <v>0</v>
      </c>
      <c r="L243" s="10" t="str">
        <f>""</f>
        <v/>
      </c>
      <c r="M243" s="11">
        <v>0</v>
      </c>
      <c r="N243" s="10" t="str">
        <f>""</f>
        <v/>
      </c>
      <c r="O243" s="3"/>
    </row>
    <row r="244" spans="1:15" x14ac:dyDescent="0.25">
      <c r="A244" s="4" t="s">
        <v>6</v>
      </c>
      <c r="B244" s="10" t="str">
        <f>""</f>
        <v/>
      </c>
      <c r="C244" s="10" t="str">
        <f>"Итого"</f>
        <v>Итого</v>
      </c>
      <c r="D244" s="11">
        <v>6936.53</v>
      </c>
      <c r="E244" s="11">
        <v>500.02</v>
      </c>
      <c r="F244" s="10" t="str">
        <f>""</f>
        <v/>
      </c>
      <c r="G244" s="11">
        <v>0</v>
      </c>
      <c r="H244" s="12">
        <v>0</v>
      </c>
      <c r="I244" s="11">
        <v>2254.8200000000002</v>
      </c>
      <c r="J244" s="13"/>
      <c r="K244" s="11">
        <v>381.91</v>
      </c>
      <c r="L244" s="10" t="str">
        <f>""</f>
        <v/>
      </c>
      <c r="M244" s="11">
        <v>62</v>
      </c>
      <c r="N244" s="10" t="str">
        <f>""</f>
        <v/>
      </c>
      <c r="O244" s="3"/>
    </row>
    <row r="245" spans="1:15" x14ac:dyDescent="0.25">
      <c r="O245" s="3"/>
    </row>
    <row r="246" spans="1:15" ht="15.75" x14ac:dyDescent="0.25">
      <c r="A246" s="17" t="s">
        <v>113</v>
      </c>
      <c r="B246" s="18"/>
      <c r="C246" s="18"/>
      <c r="D246" s="18"/>
      <c r="E246" s="18"/>
      <c r="F246" s="16"/>
      <c r="G246" s="16"/>
      <c r="H246" s="16"/>
      <c r="I246" s="16"/>
      <c r="J246" s="16"/>
      <c r="K246" s="16"/>
      <c r="L246" s="16"/>
      <c r="M246" s="16"/>
      <c r="N246" s="16"/>
      <c r="O246" s="3"/>
    </row>
    <row r="247" spans="1:15" ht="15.75" x14ac:dyDescent="0.25">
      <c r="A247" s="18"/>
      <c r="B247" s="18"/>
      <c r="C247" s="18"/>
      <c r="D247" s="18"/>
      <c r="E247" s="18"/>
      <c r="F247" s="16"/>
      <c r="G247" s="19" t="s">
        <v>115</v>
      </c>
      <c r="H247" s="20"/>
      <c r="I247" s="20"/>
      <c r="J247" s="16"/>
      <c r="K247" s="16"/>
      <c r="L247" s="21" t="s">
        <v>114</v>
      </c>
      <c r="M247" s="22"/>
      <c r="N247" s="22"/>
      <c r="O247" s="3"/>
    </row>
    <row r="248" spans="1:15" ht="45" customHeight="1" x14ac:dyDescent="0.25">
      <c r="A248" s="18"/>
      <c r="B248" s="18"/>
      <c r="C248" s="18"/>
      <c r="D248" s="18"/>
      <c r="E248" s="18"/>
      <c r="F248" s="16"/>
      <c r="G248" s="20"/>
      <c r="H248" s="20"/>
      <c r="I248" s="20"/>
      <c r="J248" s="16"/>
      <c r="K248" s="16"/>
      <c r="L248" s="22"/>
      <c r="M248" s="22"/>
      <c r="N248" s="22"/>
    </row>
  </sheetData>
  <mergeCells count="23">
    <mergeCell ref="A246:E248"/>
    <mergeCell ref="G247:I248"/>
    <mergeCell ref="L247:N248"/>
    <mergeCell ref="A1:N1"/>
    <mergeCell ref="A2:N2"/>
    <mergeCell ref="A5:A8"/>
    <mergeCell ref="B5:B8"/>
    <mergeCell ref="C5:C8"/>
    <mergeCell ref="D5:H5"/>
    <mergeCell ref="I5:L5"/>
    <mergeCell ref="M5:N5"/>
    <mergeCell ref="D6:D8"/>
    <mergeCell ref="E6:H6"/>
    <mergeCell ref="E3:K3"/>
    <mergeCell ref="I6:I8"/>
    <mergeCell ref="J6:L6"/>
    <mergeCell ref="M6:M8"/>
    <mergeCell ref="N6:N8"/>
    <mergeCell ref="E7:F7"/>
    <mergeCell ref="G7:H7"/>
    <mergeCell ref="J7:J8"/>
    <mergeCell ref="K7:K8"/>
    <mergeCell ref="L7:L8"/>
  </mergeCells>
  <pageMargins left="0.35433070866141736" right="0.15748031496062992" top="0.15748031496062992" bottom="0.15748031496062992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Администратор</cp:lastModifiedBy>
  <cp:lastPrinted>2025-08-21T03:29:28Z</cp:lastPrinted>
  <dcterms:created xsi:type="dcterms:W3CDTF">2025-08-14T09:17:44Z</dcterms:created>
  <dcterms:modified xsi:type="dcterms:W3CDTF">2025-08-21T03:33:24Z</dcterms:modified>
</cp:coreProperties>
</file>